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675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BQ12" i="1" l="1"/>
  <c r="BQ11" i="1"/>
  <c r="BQ10" i="1"/>
  <c r="BQ9" i="1"/>
  <c r="BQ8" i="1"/>
  <c r="BQ7" i="1"/>
  <c r="BQ6" i="1"/>
  <c r="BQ5" i="1"/>
  <c r="BQ4" i="1"/>
  <c r="BQ13" i="1"/>
  <c r="F28" i="8"/>
  <c r="G28" i="7"/>
  <c r="F28" i="7"/>
  <c r="F28" i="6"/>
  <c r="G28" i="5"/>
  <c r="F28" i="5"/>
  <c r="F28" i="4"/>
  <c r="F28" i="3"/>
  <c r="G28" i="2"/>
  <c r="F28" i="2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<sst xmlns="http://schemas.openxmlformats.org/spreadsheetml/2006/main" count="1017" uniqueCount="177">
  <si>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</si>
  <si>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</si>
  <si>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</si>
  <si>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</si>
  <si>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</si>
  <si>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</si>
  <si>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</si>
  <si>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Horas Trabajadas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</si>
  <si>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</si>
  <si>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</si>
  <si>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</si>
  <si>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</si>
  <si>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</si>
  <si>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</si>
  <si>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</si>
  <si>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</si>
  <si>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</si>
  <si>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</si>
  <si>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</si>
  <si>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</si>
  <si>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</si>
  <si>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</si>
  <si>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</si>
  <si>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</si>
  <si>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</si>
  <si>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</si>
  <si>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</si>
  <si>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</si>
  <si>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</si>
  <si>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</si>
  <si>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</si>
  <si>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Total AFP</t>
  </si>
  <si>
    <t>Tasa AFP</t>
  </si>
  <si>
    <t>Solo AFP</t>
  </si>
  <si>
    <t>Adicional AFP</t>
  </si>
  <si>
    <t>Tasa Adicional 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</si>
  <si>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</si>
  <si>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</si>
  <si>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</si>
  <si>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</si>
  <si>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</si>
  <si>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</si>
  <si>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</si>
  <si>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</si>
  <si>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</si>
  <si>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</si>
  <si>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</si>
  <si>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</si>
  <si>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</si>
  <si>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</si>
  <si>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</si>
  <si>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</si>
  <si>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</si>
  <si>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</si>
  <si>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</si>
  <si>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</si>
  <si>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</si>
  <si>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</si>
  <si>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</si>
  <si>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</si>
  <si>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</si>
  <si>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</si>
  <si>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</si>
  <si>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</si>
  <si>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</si>
  <si>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</si>
  <si>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</si>
  <si>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</si>
  <si>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13.143.234-8</t>
  </si>
  <si>
    <t>CESAR ANTONIO</t>
  </si>
  <si>
    <t>MORENO</t>
  </si>
  <si>
    <t>URRUTIA</t>
  </si>
  <si>
    <t>WOM 01</t>
  </si>
  <si>
    <t>24.349.134-7</t>
  </si>
  <si>
    <t>Jhonny franck</t>
  </si>
  <si>
    <t>Andrade</t>
  </si>
  <si>
    <t>Martinez</t>
  </si>
  <si>
    <t>CONSECIONARIA G21</t>
  </si>
  <si>
    <t>MAESTRO</t>
  </si>
  <si>
    <t>21.161.290-8</t>
  </si>
  <si>
    <t>IGNACIO DAMIAN</t>
  </si>
  <si>
    <t>VALENZUELA</t>
  </si>
  <si>
    <t>RODRIGUEZ</t>
  </si>
  <si>
    <t>AYUDANTE</t>
  </si>
  <si>
    <t>12.959.482-9</t>
  </si>
  <si>
    <t>RENE HUMBERTO</t>
  </si>
  <si>
    <t>PARRAGUEZ</t>
  </si>
  <si>
    <t>RAMIREZ</t>
  </si>
  <si>
    <t>10.241.175-7</t>
  </si>
  <si>
    <t>OSMAN ALBERTO</t>
  </si>
  <si>
    <t>GUTIERREZ</t>
  </si>
  <si>
    <t>26.406.829-0</t>
  </si>
  <si>
    <t>Doudley</t>
  </si>
  <si>
    <t>Nelson</t>
  </si>
  <si>
    <t>AYUDANTE DE MAESTRO</t>
  </si>
  <si>
    <t>17.387.995-4</t>
  </si>
  <si>
    <t>LUIS SEBASTIÁN</t>
  </si>
  <si>
    <t>CASTILLO</t>
  </si>
  <si>
    <t>9.451.186-0</t>
  </si>
  <si>
    <t>Gustavo enrique</t>
  </si>
  <si>
    <t>Mellado</t>
  </si>
  <si>
    <t>Oses</t>
  </si>
  <si>
    <t>15.984.497-8</t>
  </si>
  <si>
    <t>CLAUDIO ANTONIO</t>
  </si>
  <si>
    <t>FLORES</t>
  </si>
  <si>
    <t>BASTIAS</t>
  </si>
  <si>
    <t>ADMINISTRACION</t>
  </si>
  <si>
    <t>13.030.425-7</t>
  </si>
  <si>
    <t>Carlos antonio</t>
  </si>
  <si>
    <t>Valenzuela</t>
  </si>
  <si>
    <t>Salazar</t>
  </si>
  <si>
    <t>12.582.950-3</t>
  </si>
  <si>
    <t>VICTOR ANIBAL</t>
  </si>
  <si>
    <t>SANCHEZ</t>
  </si>
  <si>
    <t>VENECIANO</t>
  </si>
  <si>
    <t>11.961.183-0</t>
  </si>
  <si>
    <t>LUIS ALBERTO</t>
  </si>
  <si>
    <t>MOLINA</t>
  </si>
  <si>
    <t>HENRIQUEZ</t>
  </si>
  <si>
    <t>15.807.231-9</t>
  </si>
  <si>
    <t>Rodrigo andres</t>
  </si>
  <si>
    <t>Palma</t>
  </si>
  <si>
    <t>Arce</t>
  </si>
  <si>
    <t>JEFE DE TERRENO</t>
  </si>
  <si>
    <t>10.178.197-6</t>
  </si>
  <si>
    <t>MARCO ANTONIO</t>
  </si>
  <si>
    <t>FERNANDEZ</t>
  </si>
  <si>
    <t>VILLALOBOS</t>
  </si>
  <si>
    <t>7.941.864-1</t>
  </si>
  <si>
    <t>BERNABE DEL CARMEN</t>
  </si>
  <si>
    <t>CISTERNA</t>
  </si>
  <si>
    <t>CARVAJAL</t>
  </si>
  <si>
    <t>12.946.030-K</t>
  </si>
  <si>
    <t>MARCELO ANDRÉS</t>
  </si>
  <si>
    <t>ZAVALA</t>
  </si>
  <si>
    <t>RIVERO</t>
  </si>
  <si>
    <t>12.327.180-7</t>
  </si>
  <si>
    <t>JUAN HERMO</t>
  </si>
  <si>
    <t>PARRA</t>
  </si>
  <si>
    <t>HERRERA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</si>
  <si>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</si>
  <si>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</si>
  <si>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</si>
  <si>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</si>
  <si>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</si>
  <si>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</si>
  <si>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</si>
  <si>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</si>
  <si>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19.716.707-6</t>
  </si>
  <si>
    <t>HERMO HERNALDO</t>
  </si>
  <si>
    <t>NAVARRETE</t>
  </si>
  <si>
    <t>27.003.198-6</t>
  </si>
  <si>
    <t>CHAVANES</t>
  </si>
  <si>
    <t>LUCIEN</t>
  </si>
  <si>
    <t/>
  </si>
  <si>
    <t>12.777.277-0</t>
  </si>
  <si>
    <t>FRANCISCO JAVIER</t>
  </si>
  <si>
    <t>ALFARO</t>
  </si>
  <si>
    <t>12.039.142-9</t>
  </si>
  <si>
    <t>ROMULO AUGUSTO</t>
  </si>
  <si>
    <t>BRUNA</t>
  </si>
  <si>
    <t>MORALES</t>
  </si>
  <si>
    <t>18.416.936-3</t>
  </si>
  <si>
    <t>ROBERTO MICHAEL</t>
  </si>
  <si>
    <t>DURAN</t>
  </si>
  <si>
    <t>CASTRO</t>
  </si>
  <si>
    <t>Total</t>
  </si>
  <si>
    <t>Total Bonos</t>
  </si>
  <si>
    <t>BONO PRODUCCION</t>
  </si>
  <si>
    <t>Total Hora Extra</t>
  </si>
  <si>
    <t>Total Bonos No Imponibles</t>
  </si>
  <si>
    <t>DESGASTE DE HERRAMIENTAS</t>
  </si>
  <si>
    <t>Total Anticipos</t>
  </si>
  <si>
    <t>ANTICIPO DE SUELDO</t>
  </si>
  <si>
    <t>Total Otros Descuentos</t>
  </si>
  <si>
    <t>COSTO EMPRESA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</si>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</sst>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Q13" totalsRowCount="1">
  <autoFilter ref="A3:BQ12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</autoFilter>
  <tableColumns count="69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Horas Trabajadas" totalsRowFunction="sum"/>
    <tableColumn id="9" name="Dias Licencia" totalsRowFunction="sum"/>
    <tableColumn id="10" name="Dias Ausencia" totalsRowFunction="sum"/>
    <tableColumn id="11" name="Dias Vacaciones" totalsRowFunction="sum"/>
    <tableColumn id="12" name="Dias de Suspension" totalsRowFunction="sum"/>
    <tableColumn id="13" name="Sueldo de Suspension" totalsRowFunction="sum"/>
    <tableColumn id="14" name="Sueldo AFC de Suspension" totalsRowFunction="sum"/>
    <tableColumn id="15" name="Sueldo Base Proporcional" totalsRowFunction="sum"/>
    <tableColumn id="16" name="Cant Hrs Atraso" totalsRowFunction="sum"/>
    <tableColumn id="17" name="Monto Por Atraso" totalsRowFunction="sum"/>
    <tableColumn id="18" name="Gratificacion" totalsRowFunction="sum"/>
    <tableColumn id="19" name="Hora Extra" totalsRowFunction="sum"/>
    <tableColumn id="20" name="Bonos Imponibles" totalsRowFunction="sum"/>
    <tableColumn id="21" name="Total Comisiones" totalsRowFunction="sum"/>
    <tableColumn id="22" name="Semana Corrida" totalsRowFunction="sum"/>
    <tableColumn id="23" name="Total Haberes Imponibles" totalsRowFunction="sum"/>
    <tableColumn id="24" name="Movilizacion" totalsRowFunction="sum"/>
    <tableColumn id="25" name="Colacion" totalsRowFunction="sum"/>
    <tableColumn id="26" name="Cargas Familiares" totalsRowFunction="sum"/>
    <tableColumn id="27" name="Bonos No Imponibles" totalsRowFunction="sum"/>
    <tableColumn id="28" name="Total Haberes No Imponibles" totalsRowFunction="sum"/>
    <tableColumn id="29" name="Total Haberes" totalsRowFunction="sum"/>
    <tableColumn id="30" name="Base Imponible" totalsRowFunction="sum"/>
    <tableColumn id="31" name="Base Tributable" totalsRowFunction="sum"/>
    <tableColumn id="32" name="Total AFP" totalsRowFunction="sum"/>
    <tableColumn id="33" name="Tasa AFP" totalsRowFunction="sum"/>
    <tableColumn id="34" name="Solo AFP" totalsRowFunction="sum"/>
    <tableColumn id="35" name="Adicional AFP" totalsRowFunction="sum"/>
    <tableColumn id="36" name="Tasa Adicional AFP" totalsRowFunction="sum"/>
    <tableColumn id="37" name="INP" totalsRowFunction="sum"/>
    <tableColumn id="38" name="Trabajo Pesado Empleado" totalsRowFunction="sum"/>
    <tableColumn id="39" name="FONASA" totalsRowFunction="sum"/>
    <tableColumn id="40" name="ISAPRE" totalsRowFunction="sum"/>
    <tableColumn id="41" name="Adicional Salud" totalsRowFunction="sum"/>
    <tableColumn id="42" name="Total Salud" totalsRowFunction="sum"/>
    <tableColumn id="43" name="AFC Empleado" totalsRowFunction="sum"/>
    <tableColumn id="44" name="Leyes Sociales" totalsRowFunction="sum"/>
    <tableColumn id="45" name="Impuesto Unico" totalsRowFunction="sum"/>
    <tableColumn id="46" name="Rebaja Zona Extrema" totalsRowFunction="sum"/>
    <tableColumn id="47" name="Cta Ahorro AFP" totalsRowFunction="sum"/>
    <tableColumn id="48" name="APV A" totalsRowFunction="sum"/>
    <tableColumn id="49" name="APV B" totalsRowFunction="sum"/>
    <tableColumn id="50" name="APV C" totalsRowFunction="sum"/>
    <tableColumn id="51" name="TOTAL APV" totalsRowFunction="sum"/>
    <tableColumn id="52" name="Anticipos" totalsRowFunction="sum"/>
    <tableColumn id="53" name="Otros Descuentos" totalsRowFunction="sum"/>
    <tableColumn id="54" name="Prestamos Caja" totalsRowFunction="sum"/>
    <tableColumn id="55" name="Prestamo Social" totalsRowFunction="sum"/>
    <tableColumn id="56" name="Prestamos Empresa" totalsRowFunction="sum"/>
    <tableColumn id="57" name="Total Prestamos" totalsRowFunction="sum"/>
    <tableColumn id="58" name="Seguros Dentales" totalsRowFunction="sum"/>
    <tableColumn id="59" name="Ahorro Caja" totalsRowFunction="sum"/>
    <tableColumn id="60" name="Seguros de Vida" totalsRowFunction="sum"/>
    <tableColumn id="61" name="Cobertura de Suspension Total" totalsRowFunction="sum"/>
    <tableColumn id="62" name="Cobertura de Suspension" totalsRowFunction="sum"/>
    <tableColumn id="63" name="Total Descuentos" totalsRowFunction="sum"/>
    <tableColumn id="64" name="Sueldo Liquido" totalsRowFunction="sum"/>
    <tableColumn id="65" name="AFC Empresa" totalsRowFunction="sum"/>
    <tableColumn id="66" name="SIS" totalsRowFunction="sum"/>
    <tableColumn id="67" name="MUTUAL" totalsRowFunction="sum"/>
    <tableColumn id="68" name="Caja Compensacion" totalsRowFunction="sum"/>
    <tableColumn id="69" name="COSTO EMPRESA" totalsRowFunction="sum">
      <calculatedColumnFormula>LIBRO[[#This Row],[MUTUAL]]+LIBRO[[#This Row],[SIS]]+LIBRO[[#This Row],[AFC Empresa]]+LIBRO[[#This Row],[Total Haberes]]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BONO 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  <tableColumn id="7" name="DESGASTE DE HERRAMIENTA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G28" totalsRowCount="1">
  <autoFilter ref="A3:G27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  <tableColumn id="7" name="ANTICIPO DE SUELDO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28" totalsRowCount="1">
  <autoFilter ref="A3:F27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3"/>
  <sheetViews>
    <sheetView tabSelected="1" workbookViewId="0">
      <selection activeCell="G16" sqref="G16"/>
    </sheetView>
  </sheetViews>
  <sheetFormatPr baseColWidth="10" defaultColWidth="9.140625" defaultRowHeight="15" x14ac:dyDescent="0.25"/>
  <sheetData>
    <row r="3" spans="1:69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  <c r="BM3" t="s">
        <v>64</v>
      </c>
      <c r="BN3" t="s">
        <v>65</v>
      </c>
      <c r="BO3" t="s">
        <v>66</v>
      </c>
      <c r="BP3" t="s">
        <v>67</v>
      </c>
      <c r="BQ3" t="s">
        <v>175</v>
      </c>
    </row>
    <row r="4" spans="1:69" x14ac:dyDescent="0.25">
      <c r="A4" t="s">
        <v>73</v>
      </c>
      <c r="B4" t="s">
        <v>74</v>
      </c>
      <c r="C4" t="s">
        <v>75</v>
      </c>
      <c r="D4" t="s">
        <v>76</v>
      </c>
      <c r="E4" t="s">
        <v>77</v>
      </c>
      <c r="F4" t="s">
        <v>78</v>
      </c>
      <c r="G4">
        <v>30</v>
      </c>
      <c r="I4">
        <v>0</v>
      </c>
      <c r="J4">
        <v>0</v>
      </c>
      <c r="K4">
        <v>0</v>
      </c>
      <c r="L4">
        <v>0</v>
      </c>
      <c r="O4">
        <v>493000</v>
      </c>
      <c r="P4">
        <v>0</v>
      </c>
      <c r="Q4">
        <v>0</v>
      </c>
      <c r="R4">
        <v>123250</v>
      </c>
      <c r="S4">
        <v>0</v>
      </c>
      <c r="T4">
        <v>422500</v>
      </c>
      <c r="U4">
        <v>0</v>
      </c>
      <c r="V4">
        <v>0</v>
      </c>
      <c r="W4">
        <v>1038750</v>
      </c>
      <c r="X4">
        <v>50000</v>
      </c>
      <c r="Y4">
        <v>50000</v>
      </c>
      <c r="Z4">
        <v>0</v>
      </c>
      <c r="AA4">
        <v>0</v>
      </c>
      <c r="AB4">
        <v>100000</v>
      </c>
      <c r="AC4">
        <v>1138750</v>
      </c>
      <c r="AD4">
        <v>1038750</v>
      </c>
      <c r="AE4">
        <v>848762</v>
      </c>
      <c r="AF4">
        <v>111042</v>
      </c>
      <c r="AG4">
        <v>10.69</v>
      </c>
      <c r="AH4">
        <v>111042</v>
      </c>
      <c r="AI4">
        <v>0</v>
      </c>
      <c r="AJ4">
        <v>0</v>
      </c>
      <c r="AK4">
        <v>0</v>
      </c>
      <c r="AL4">
        <v>0</v>
      </c>
      <c r="AM4">
        <v>72713</v>
      </c>
      <c r="AN4">
        <v>0</v>
      </c>
      <c r="AO4">
        <v>0</v>
      </c>
      <c r="AP4">
        <v>72713</v>
      </c>
      <c r="AQ4">
        <v>6233</v>
      </c>
      <c r="AR4">
        <v>189988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189988</v>
      </c>
      <c r="BL4">
        <v>948762</v>
      </c>
      <c r="BM4">
        <v>24930</v>
      </c>
      <c r="BN4">
        <v>19529</v>
      </c>
      <c r="BO4">
        <v>36149</v>
      </c>
      <c r="BP4">
        <v>0</v>
      </c>
      <c r="BQ4">
        <f>LIBRO[[#This Row],[MUTUAL]]+LIBRO[[#This Row],[SIS]]+LIBRO[[#This Row],[AFC Empresa]]+LIBRO[[#This Row],[Total Haberes]]</f>
        <v>1219358</v>
      </c>
    </row>
    <row r="5" spans="1:69" x14ac:dyDescent="0.25">
      <c r="A5" t="s">
        <v>79</v>
      </c>
      <c r="B5" t="s">
        <v>80</v>
      </c>
      <c r="C5" t="s">
        <v>81</v>
      </c>
      <c r="D5" t="s">
        <v>82</v>
      </c>
      <c r="E5" t="s">
        <v>77</v>
      </c>
      <c r="F5" t="s">
        <v>83</v>
      </c>
      <c r="G5">
        <v>30</v>
      </c>
      <c r="I5">
        <v>0</v>
      </c>
      <c r="J5">
        <v>0</v>
      </c>
      <c r="K5">
        <v>0</v>
      </c>
      <c r="L5">
        <v>0</v>
      </c>
      <c r="O5">
        <v>495025</v>
      </c>
      <c r="P5">
        <v>0</v>
      </c>
      <c r="Q5">
        <v>0</v>
      </c>
      <c r="R5">
        <v>123756</v>
      </c>
      <c r="S5">
        <v>0</v>
      </c>
      <c r="T5">
        <v>228500</v>
      </c>
      <c r="U5">
        <v>0</v>
      </c>
      <c r="V5">
        <v>0</v>
      </c>
      <c r="W5">
        <v>847281</v>
      </c>
      <c r="X5">
        <v>20000</v>
      </c>
      <c r="Y5">
        <v>20000</v>
      </c>
      <c r="Z5">
        <v>0</v>
      </c>
      <c r="AA5">
        <v>0</v>
      </c>
      <c r="AB5">
        <v>40000</v>
      </c>
      <c r="AC5">
        <v>887281</v>
      </c>
      <c r="AD5">
        <v>847281</v>
      </c>
      <c r="AE5">
        <v>693245</v>
      </c>
      <c r="AF5">
        <v>89642</v>
      </c>
      <c r="AG5">
        <v>10.58</v>
      </c>
      <c r="AH5">
        <v>89642</v>
      </c>
      <c r="AI5">
        <v>0</v>
      </c>
      <c r="AJ5">
        <v>0</v>
      </c>
      <c r="AK5">
        <v>0</v>
      </c>
      <c r="AL5">
        <v>0</v>
      </c>
      <c r="AM5">
        <v>59310</v>
      </c>
      <c r="AN5">
        <v>0</v>
      </c>
      <c r="AO5">
        <v>0</v>
      </c>
      <c r="AP5">
        <v>59310</v>
      </c>
      <c r="AQ5">
        <v>5084</v>
      </c>
      <c r="AR5">
        <v>154036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154036</v>
      </c>
      <c r="BL5">
        <v>733245</v>
      </c>
      <c r="BM5">
        <v>20335</v>
      </c>
      <c r="BN5">
        <v>15929</v>
      </c>
      <c r="BO5">
        <v>29485</v>
      </c>
      <c r="BP5">
        <v>0</v>
      </c>
      <c r="BQ5">
        <f>LIBRO[[#This Row],[MUTUAL]]+LIBRO[[#This Row],[SIS]]+LIBRO[[#This Row],[AFC Empresa]]+LIBRO[[#This Row],[Total Haberes]]</f>
        <v>953030</v>
      </c>
    </row>
    <row r="6" spans="1:69" x14ac:dyDescent="0.25">
      <c r="A6" t="s">
        <v>91</v>
      </c>
      <c r="B6" t="s">
        <v>92</v>
      </c>
      <c r="C6" t="s">
        <v>93</v>
      </c>
      <c r="D6" t="s">
        <v>93</v>
      </c>
      <c r="E6" t="s">
        <v>77</v>
      </c>
      <c r="F6" t="s">
        <v>94</v>
      </c>
      <c r="G6">
        <v>30</v>
      </c>
      <c r="I6">
        <v>0</v>
      </c>
      <c r="J6">
        <v>0</v>
      </c>
      <c r="K6">
        <v>0</v>
      </c>
      <c r="L6">
        <v>0</v>
      </c>
      <c r="O6">
        <v>600000</v>
      </c>
      <c r="P6">
        <v>0</v>
      </c>
      <c r="Q6">
        <v>0</v>
      </c>
      <c r="R6">
        <v>150000</v>
      </c>
      <c r="S6">
        <v>0</v>
      </c>
      <c r="T6">
        <v>339891</v>
      </c>
      <c r="U6">
        <v>0</v>
      </c>
      <c r="V6">
        <v>0</v>
      </c>
      <c r="W6">
        <v>1089891</v>
      </c>
      <c r="X6">
        <v>10000</v>
      </c>
      <c r="Y6">
        <v>10000</v>
      </c>
      <c r="Z6">
        <v>0</v>
      </c>
      <c r="AA6">
        <v>0</v>
      </c>
      <c r="AB6">
        <v>20000</v>
      </c>
      <c r="AC6">
        <v>1109891</v>
      </c>
      <c r="AD6">
        <v>1089891</v>
      </c>
      <c r="AE6">
        <v>885428</v>
      </c>
      <c r="AF6">
        <v>121632</v>
      </c>
      <c r="AG6">
        <v>11.16</v>
      </c>
      <c r="AH6">
        <v>121632</v>
      </c>
      <c r="AI6">
        <v>0</v>
      </c>
      <c r="AJ6">
        <v>0</v>
      </c>
      <c r="AK6">
        <v>0</v>
      </c>
      <c r="AL6">
        <v>0</v>
      </c>
      <c r="AM6">
        <v>76292</v>
      </c>
      <c r="AN6">
        <v>0</v>
      </c>
      <c r="AO6">
        <v>0</v>
      </c>
      <c r="AP6">
        <v>76292</v>
      </c>
      <c r="AQ6">
        <v>6539</v>
      </c>
      <c r="AR6">
        <v>204463</v>
      </c>
      <c r="AS6">
        <v>1153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205616</v>
      </c>
      <c r="BL6">
        <v>904275</v>
      </c>
      <c r="BM6">
        <v>26157</v>
      </c>
      <c r="BN6">
        <v>20490</v>
      </c>
      <c r="BO6">
        <v>37928</v>
      </c>
      <c r="BP6">
        <v>0</v>
      </c>
      <c r="BQ6">
        <f>LIBRO[[#This Row],[MUTUAL]]+LIBRO[[#This Row],[SIS]]+LIBRO[[#This Row],[AFC Empresa]]+LIBRO[[#This Row],[Total Haberes]]</f>
        <v>1194466</v>
      </c>
    </row>
    <row r="7" spans="1:69" x14ac:dyDescent="0.25">
      <c r="A7" t="s">
        <v>98</v>
      </c>
      <c r="B7" t="s">
        <v>99</v>
      </c>
      <c r="C7" t="s">
        <v>100</v>
      </c>
      <c r="D7" t="s">
        <v>101</v>
      </c>
      <c r="E7" t="s">
        <v>77</v>
      </c>
      <c r="F7" t="s">
        <v>78</v>
      </c>
      <c r="G7">
        <v>30</v>
      </c>
      <c r="I7">
        <v>0</v>
      </c>
      <c r="J7">
        <v>0</v>
      </c>
      <c r="K7">
        <v>0</v>
      </c>
      <c r="L7">
        <v>0</v>
      </c>
      <c r="O7">
        <v>460000</v>
      </c>
      <c r="P7">
        <v>0</v>
      </c>
      <c r="Q7">
        <v>0</v>
      </c>
      <c r="R7">
        <v>115000</v>
      </c>
      <c r="S7">
        <v>0</v>
      </c>
      <c r="T7">
        <v>411000</v>
      </c>
      <c r="U7">
        <v>0</v>
      </c>
      <c r="V7">
        <v>0</v>
      </c>
      <c r="W7">
        <v>986000</v>
      </c>
      <c r="X7">
        <v>75000</v>
      </c>
      <c r="Y7">
        <v>75000</v>
      </c>
      <c r="Z7">
        <v>0</v>
      </c>
      <c r="AA7">
        <v>0</v>
      </c>
      <c r="AB7">
        <v>150000</v>
      </c>
      <c r="AC7">
        <v>1136000</v>
      </c>
      <c r="AD7">
        <v>986000</v>
      </c>
      <c r="AE7">
        <v>799942</v>
      </c>
      <c r="AF7">
        <v>111122</v>
      </c>
      <c r="AG7">
        <v>11.27</v>
      </c>
      <c r="AH7">
        <v>111122</v>
      </c>
      <c r="AI7">
        <v>0</v>
      </c>
      <c r="AJ7">
        <v>0</v>
      </c>
      <c r="AK7">
        <v>0</v>
      </c>
      <c r="AL7">
        <v>0</v>
      </c>
      <c r="AM7">
        <v>69020</v>
      </c>
      <c r="AN7">
        <v>0</v>
      </c>
      <c r="AO7">
        <v>0</v>
      </c>
      <c r="AP7">
        <v>69020</v>
      </c>
      <c r="AQ7">
        <v>5916</v>
      </c>
      <c r="AR7">
        <v>186058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186058</v>
      </c>
      <c r="BL7">
        <v>949942</v>
      </c>
      <c r="BM7">
        <v>23664</v>
      </c>
      <c r="BN7">
        <v>18537</v>
      </c>
      <c r="BO7">
        <v>34313</v>
      </c>
      <c r="BP7">
        <v>0</v>
      </c>
      <c r="BQ7">
        <f>LIBRO[[#This Row],[MUTUAL]]+LIBRO[[#This Row],[SIS]]+LIBRO[[#This Row],[AFC Empresa]]+LIBRO[[#This Row],[Total Haberes]]</f>
        <v>1212514</v>
      </c>
    </row>
    <row r="8" spans="1:69" x14ac:dyDescent="0.25">
      <c r="A8" t="s">
        <v>107</v>
      </c>
      <c r="B8" t="s">
        <v>108</v>
      </c>
      <c r="C8" t="s">
        <v>109</v>
      </c>
      <c r="D8" t="s">
        <v>110</v>
      </c>
      <c r="E8" t="s">
        <v>77</v>
      </c>
      <c r="F8" t="s">
        <v>83</v>
      </c>
      <c r="G8">
        <v>30</v>
      </c>
      <c r="I8">
        <v>0</v>
      </c>
      <c r="J8">
        <v>0</v>
      </c>
      <c r="K8">
        <v>0</v>
      </c>
      <c r="L8">
        <v>0</v>
      </c>
      <c r="O8">
        <v>624500</v>
      </c>
      <c r="P8">
        <v>0</v>
      </c>
      <c r="Q8">
        <v>0</v>
      </c>
      <c r="R8">
        <v>156125</v>
      </c>
      <c r="S8">
        <v>0</v>
      </c>
      <c r="T8">
        <v>473000</v>
      </c>
      <c r="U8">
        <v>0</v>
      </c>
      <c r="V8">
        <v>0</v>
      </c>
      <c r="W8">
        <v>1253625</v>
      </c>
      <c r="X8">
        <v>10000</v>
      </c>
      <c r="Y8">
        <v>10000</v>
      </c>
      <c r="Z8">
        <v>0</v>
      </c>
      <c r="AA8">
        <v>0</v>
      </c>
      <c r="AB8">
        <v>20000</v>
      </c>
      <c r="AC8">
        <v>1273625</v>
      </c>
      <c r="AD8">
        <v>1253625</v>
      </c>
      <c r="AE8">
        <v>946314</v>
      </c>
      <c r="AF8">
        <v>143415</v>
      </c>
      <c r="AG8">
        <v>11.44</v>
      </c>
      <c r="AH8">
        <v>143415</v>
      </c>
      <c r="AI8">
        <v>0</v>
      </c>
      <c r="AJ8">
        <v>0</v>
      </c>
      <c r="AK8">
        <v>0</v>
      </c>
      <c r="AL8">
        <v>0</v>
      </c>
      <c r="AM8">
        <v>0</v>
      </c>
      <c r="AN8">
        <v>87754</v>
      </c>
      <c r="AO8">
        <v>68620</v>
      </c>
      <c r="AP8">
        <v>156374</v>
      </c>
      <c r="AQ8">
        <v>7522</v>
      </c>
      <c r="AR8">
        <v>307311</v>
      </c>
      <c r="AS8">
        <v>3588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310899</v>
      </c>
      <c r="BL8">
        <v>962726</v>
      </c>
      <c r="BM8">
        <v>30087</v>
      </c>
      <c r="BN8">
        <v>23568</v>
      </c>
      <c r="BO8">
        <v>43626</v>
      </c>
      <c r="BP8">
        <v>0</v>
      </c>
      <c r="BQ8">
        <f>LIBRO[[#This Row],[MUTUAL]]+LIBRO[[#This Row],[SIS]]+LIBRO[[#This Row],[AFC Empresa]]+LIBRO[[#This Row],[Total Haberes]]</f>
        <v>1370906</v>
      </c>
    </row>
    <row r="9" spans="1:69" x14ac:dyDescent="0.25">
      <c r="A9" t="s">
        <v>119</v>
      </c>
      <c r="B9" t="s">
        <v>120</v>
      </c>
      <c r="C9" t="s">
        <v>121</v>
      </c>
      <c r="D9" t="s">
        <v>122</v>
      </c>
      <c r="E9" t="s">
        <v>77</v>
      </c>
      <c r="F9" t="s">
        <v>123</v>
      </c>
      <c r="G9">
        <v>30</v>
      </c>
      <c r="I9">
        <v>0</v>
      </c>
      <c r="J9">
        <v>0</v>
      </c>
      <c r="K9">
        <v>0</v>
      </c>
      <c r="L9">
        <v>0</v>
      </c>
      <c r="O9">
        <v>1175000</v>
      </c>
      <c r="P9">
        <v>0</v>
      </c>
      <c r="Q9">
        <v>0</v>
      </c>
      <c r="R9">
        <v>182083</v>
      </c>
      <c r="S9">
        <v>0</v>
      </c>
      <c r="T9">
        <v>1315800</v>
      </c>
      <c r="U9">
        <v>0</v>
      </c>
      <c r="V9">
        <v>0</v>
      </c>
      <c r="W9">
        <v>2672883</v>
      </c>
      <c r="X9">
        <v>124000</v>
      </c>
      <c r="Y9">
        <v>100000</v>
      </c>
      <c r="Z9">
        <v>0</v>
      </c>
      <c r="AA9">
        <v>0</v>
      </c>
      <c r="AB9">
        <v>224000</v>
      </c>
      <c r="AC9">
        <v>2896883</v>
      </c>
      <c r="AD9">
        <v>2672883</v>
      </c>
      <c r="AE9">
        <v>2163699</v>
      </c>
      <c r="AF9">
        <v>306045</v>
      </c>
      <c r="AG9">
        <v>11.45</v>
      </c>
      <c r="AH9">
        <v>306045</v>
      </c>
      <c r="AI9">
        <v>0</v>
      </c>
      <c r="AJ9">
        <v>0</v>
      </c>
      <c r="AK9">
        <v>0</v>
      </c>
      <c r="AL9">
        <v>0</v>
      </c>
      <c r="AM9">
        <v>187102</v>
      </c>
      <c r="AN9">
        <v>0</v>
      </c>
      <c r="AO9">
        <v>0</v>
      </c>
      <c r="AP9">
        <v>187102</v>
      </c>
      <c r="AQ9">
        <v>16037</v>
      </c>
      <c r="AR9">
        <v>509184</v>
      </c>
      <c r="AS9">
        <v>62689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571873</v>
      </c>
      <c r="BL9">
        <v>2325010</v>
      </c>
      <c r="BM9">
        <v>64149</v>
      </c>
      <c r="BN9">
        <v>50250</v>
      </c>
      <c r="BO9">
        <v>93016</v>
      </c>
      <c r="BP9">
        <v>0</v>
      </c>
      <c r="BQ9">
        <f>LIBRO[[#This Row],[MUTUAL]]+LIBRO[[#This Row],[SIS]]+LIBRO[[#This Row],[AFC Empresa]]+LIBRO[[#This Row],[Total Haberes]]</f>
        <v>3104298</v>
      </c>
    </row>
    <row r="10" spans="1:69" x14ac:dyDescent="0.25">
      <c r="A10" t="s">
        <v>140</v>
      </c>
      <c r="B10" t="s">
        <v>141</v>
      </c>
      <c r="C10" t="s">
        <v>142</v>
      </c>
      <c r="D10" t="s">
        <v>143</v>
      </c>
      <c r="E10" t="s">
        <v>77</v>
      </c>
      <c r="F10" t="s">
        <v>78</v>
      </c>
      <c r="G10">
        <v>30</v>
      </c>
      <c r="I10">
        <v>0</v>
      </c>
      <c r="J10">
        <v>0</v>
      </c>
      <c r="K10">
        <v>0</v>
      </c>
      <c r="L10">
        <v>0</v>
      </c>
      <c r="O10">
        <v>490436</v>
      </c>
      <c r="P10">
        <v>0</v>
      </c>
      <c r="Q10">
        <v>0</v>
      </c>
      <c r="R10">
        <v>122609</v>
      </c>
      <c r="S10">
        <v>0</v>
      </c>
      <c r="T10">
        <v>258000</v>
      </c>
      <c r="U10">
        <v>0</v>
      </c>
      <c r="V10">
        <v>0</v>
      </c>
      <c r="W10">
        <v>871045</v>
      </c>
      <c r="X10">
        <v>50000</v>
      </c>
      <c r="Y10">
        <v>50000</v>
      </c>
      <c r="Z10">
        <v>0</v>
      </c>
      <c r="AA10">
        <v>0</v>
      </c>
      <c r="AB10">
        <v>100000</v>
      </c>
      <c r="AC10">
        <v>971045</v>
      </c>
      <c r="AD10">
        <v>871045</v>
      </c>
      <c r="AE10">
        <v>705198</v>
      </c>
      <c r="AF10">
        <v>99648</v>
      </c>
      <c r="AG10">
        <v>11.44</v>
      </c>
      <c r="AH10">
        <v>99648</v>
      </c>
      <c r="AI10">
        <v>0</v>
      </c>
      <c r="AJ10">
        <v>0</v>
      </c>
      <c r="AK10">
        <v>0</v>
      </c>
      <c r="AL10">
        <v>0</v>
      </c>
      <c r="AM10">
        <v>60973</v>
      </c>
      <c r="AN10">
        <v>0</v>
      </c>
      <c r="AO10">
        <v>0</v>
      </c>
      <c r="AP10">
        <v>60973</v>
      </c>
      <c r="AQ10">
        <v>5226</v>
      </c>
      <c r="AR10">
        <v>165847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165847</v>
      </c>
      <c r="BL10">
        <v>805198</v>
      </c>
      <c r="BM10">
        <v>20905</v>
      </c>
      <c r="BN10">
        <v>16376</v>
      </c>
      <c r="BO10">
        <v>30312</v>
      </c>
      <c r="BP10">
        <v>0</v>
      </c>
      <c r="BQ10">
        <f>LIBRO[[#This Row],[MUTUAL]]+LIBRO[[#This Row],[SIS]]+LIBRO[[#This Row],[AFC Empresa]]+LIBRO[[#This Row],[Total Haberes]]</f>
        <v>1038638</v>
      </c>
    </row>
    <row r="11" spans="1:69" x14ac:dyDescent="0.25">
      <c r="A11" t="s">
        <v>144</v>
      </c>
      <c r="B11" t="s">
        <v>145</v>
      </c>
      <c r="C11" t="s">
        <v>146</v>
      </c>
      <c r="D11" t="s">
        <v>147</v>
      </c>
      <c r="E11" t="s">
        <v>77</v>
      </c>
      <c r="F11" t="s">
        <v>78</v>
      </c>
      <c r="G11">
        <v>30</v>
      </c>
      <c r="I11">
        <v>0</v>
      </c>
      <c r="J11">
        <v>0</v>
      </c>
      <c r="K11">
        <v>0</v>
      </c>
      <c r="L11">
        <v>0</v>
      </c>
      <c r="O11">
        <v>493000</v>
      </c>
      <c r="P11">
        <v>0</v>
      </c>
      <c r="Q11">
        <v>0</v>
      </c>
      <c r="R11">
        <v>123250</v>
      </c>
      <c r="S11">
        <v>0</v>
      </c>
      <c r="T11">
        <v>352872</v>
      </c>
      <c r="U11">
        <v>0</v>
      </c>
      <c r="V11">
        <v>0</v>
      </c>
      <c r="W11">
        <v>969122</v>
      </c>
      <c r="X11">
        <v>50000</v>
      </c>
      <c r="Y11">
        <v>50000</v>
      </c>
      <c r="Z11">
        <v>0</v>
      </c>
      <c r="AA11">
        <v>0</v>
      </c>
      <c r="AB11">
        <v>100000</v>
      </c>
      <c r="AC11">
        <v>1069122</v>
      </c>
      <c r="AD11">
        <v>969122</v>
      </c>
      <c r="AE11">
        <v>786248</v>
      </c>
      <c r="AF11">
        <v>109220</v>
      </c>
      <c r="AG11">
        <v>11.27</v>
      </c>
      <c r="AH11">
        <v>109220</v>
      </c>
      <c r="AI11">
        <v>0</v>
      </c>
      <c r="AJ11">
        <v>0</v>
      </c>
      <c r="AK11">
        <v>0</v>
      </c>
      <c r="AL11">
        <v>0</v>
      </c>
      <c r="AM11">
        <v>67839</v>
      </c>
      <c r="AN11">
        <v>0</v>
      </c>
      <c r="AO11">
        <v>0</v>
      </c>
      <c r="AP11">
        <v>67839</v>
      </c>
      <c r="AQ11">
        <v>5815</v>
      </c>
      <c r="AR11">
        <v>182874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182874</v>
      </c>
      <c r="BL11">
        <v>886248</v>
      </c>
      <c r="BM11">
        <v>23259</v>
      </c>
      <c r="BN11">
        <v>18219</v>
      </c>
      <c r="BO11">
        <v>33725</v>
      </c>
      <c r="BP11">
        <v>0</v>
      </c>
      <c r="BQ11">
        <f>LIBRO[[#This Row],[MUTUAL]]+LIBRO[[#This Row],[SIS]]+LIBRO[[#This Row],[AFC Empresa]]+LIBRO[[#This Row],[Total Haberes]]</f>
        <v>1144325</v>
      </c>
    </row>
    <row r="12" spans="1:69" x14ac:dyDescent="0.25">
      <c r="A12" t="s">
        <v>151</v>
      </c>
      <c r="B12" t="s">
        <v>152</v>
      </c>
      <c r="C12" t="s">
        <v>153</v>
      </c>
      <c r="D12" t="s">
        <v>154</v>
      </c>
      <c r="E12" t="s">
        <v>77</v>
      </c>
      <c r="F12" t="s">
        <v>78</v>
      </c>
      <c r="G12">
        <v>30</v>
      </c>
      <c r="I12">
        <v>0</v>
      </c>
      <c r="J12">
        <v>0</v>
      </c>
      <c r="K12">
        <v>0</v>
      </c>
      <c r="L12">
        <v>0</v>
      </c>
      <c r="O12">
        <v>488758</v>
      </c>
      <c r="P12">
        <v>0</v>
      </c>
      <c r="Q12">
        <v>0</v>
      </c>
      <c r="R12">
        <v>122190</v>
      </c>
      <c r="S12">
        <v>0</v>
      </c>
      <c r="T12">
        <v>345891</v>
      </c>
      <c r="U12">
        <v>0</v>
      </c>
      <c r="V12">
        <v>0</v>
      </c>
      <c r="W12">
        <v>956839</v>
      </c>
      <c r="X12">
        <v>50000</v>
      </c>
      <c r="Y12">
        <v>50000</v>
      </c>
      <c r="Z12">
        <v>0</v>
      </c>
      <c r="AA12">
        <v>0</v>
      </c>
      <c r="AB12">
        <v>100000</v>
      </c>
      <c r="AC12">
        <v>1056839</v>
      </c>
      <c r="AD12">
        <v>956839</v>
      </c>
      <c r="AE12">
        <v>777336</v>
      </c>
      <c r="AF12">
        <v>106783</v>
      </c>
      <c r="AG12">
        <v>11.16</v>
      </c>
      <c r="AH12">
        <v>106783</v>
      </c>
      <c r="AI12">
        <v>0</v>
      </c>
      <c r="AJ12">
        <v>0</v>
      </c>
      <c r="AK12">
        <v>0</v>
      </c>
      <c r="AL12">
        <v>0</v>
      </c>
      <c r="AM12">
        <v>66979</v>
      </c>
      <c r="AN12">
        <v>0</v>
      </c>
      <c r="AO12">
        <v>0</v>
      </c>
      <c r="AP12">
        <v>66979</v>
      </c>
      <c r="AQ12">
        <v>5741</v>
      </c>
      <c r="AR12">
        <v>179503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179503</v>
      </c>
      <c r="BL12">
        <v>877336</v>
      </c>
      <c r="BM12">
        <v>22964</v>
      </c>
      <c r="BN12">
        <v>17989</v>
      </c>
      <c r="BO12">
        <v>33298</v>
      </c>
      <c r="BP12">
        <v>0</v>
      </c>
      <c r="BQ12">
        <f>LIBRO[[#This Row],[MUTUAL]]+LIBRO[[#This Row],[SIS]]+LIBRO[[#This Row],[AFC Empresa]]+LIBRO[[#This Row],[Total Haberes]]</f>
        <v>1131090</v>
      </c>
    </row>
    <row r="13" spans="1:69" x14ac:dyDescent="0.25">
      <c r="A13" t="s">
        <v>166</v>
      </c>
      <c r="B13" t="s">
        <v>176</v>
      </c>
      <c r="F13">
        <f>SUBTOTAL(109,LIBRO[Cargo])</f>
        <v>0</v>
      </c>
      <c r="G13">
        <f>SUBTOTAL(109,LIBRO[Dias Trabajados])</f>
        <v>270</v>
      </c>
      <c r="H13">
        <f>SUBTOTAL(109,LIBRO[Horas Trabajadas])</f>
        <v>0</v>
      </c>
      <c r="I13">
        <f>SUBTOTAL(109,LIBRO[Dias Licencia])</f>
        <v>0</v>
      </c>
      <c r="J13">
        <f>SUBTOTAL(109,LIBRO[Dias Ausencia])</f>
        <v>0</v>
      </c>
      <c r="K13">
        <f>SUBTOTAL(109,LIBRO[Dias Vacaciones])</f>
        <v>0</v>
      </c>
      <c r="L13">
        <f>SUBTOTAL(109,LIBRO[Dias de Suspension])</f>
        <v>0</v>
      </c>
      <c r="M13">
        <f>SUBTOTAL(109,LIBRO[Sueldo de Suspension])</f>
        <v>0</v>
      </c>
      <c r="N13">
        <f>SUBTOTAL(109,LIBRO[Sueldo AFC de Suspension])</f>
        <v>0</v>
      </c>
      <c r="O13">
        <f>SUBTOTAL(109,LIBRO[Sueldo Base Proporcional])</f>
        <v>5319719</v>
      </c>
      <c r="P13">
        <f>SUBTOTAL(109,LIBRO[Cant Hrs Atraso])</f>
        <v>0</v>
      </c>
      <c r="Q13">
        <f>SUBTOTAL(109,LIBRO[Monto Por Atraso])</f>
        <v>0</v>
      </c>
      <c r="R13">
        <f>SUBTOTAL(109,LIBRO[Gratificacion])</f>
        <v>1218263</v>
      </c>
      <c r="S13">
        <f>SUBTOTAL(109,LIBRO[Hora Extra])</f>
        <v>0</v>
      </c>
      <c r="T13">
        <f>SUBTOTAL(109,LIBRO[Bonos Imponibles])</f>
        <v>4147454</v>
      </c>
      <c r="U13">
        <f>SUBTOTAL(109,LIBRO[Total Comisiones])</f>
        <v>0</v>
      </c>
      <c r="V13">
        <f>SUBTOTAL(109,LIBRO[Semana Corrida])</f>
        <v>0</v>
      </c>
      <c r="W13">
        <f>SUBTOTAL(109,LIBRO[Total Haberes Imponibles])</f>
        <v>10685436</v>
      </c>
      <c r="X13">
        <f>SUBTOTAL(109,LIBRO[Movilizacion])</f>
        <v>439000</v>
      </c>
      <c r="Y13">
        <f>SUBTOTAL(109,LIBRO[Colacion])</f>
        <v>415000</v>
      </c>
      <c r="Z13">
        <f>SUBTOTAL(109,LIBRO[Cargas Familiares])</f>
        <v>0</v>
      </c>
      <c r="AA13">
        <f>SUBTOTAL(109,LIBRO[Bonos No Imponibles])</f>
        <v>0</v>
      </c>
      <c r="AB13">
        <f>SUBTOTAL(109,LIBRO[Total Haberes No Imponibles])</f>
        <v>854000</v>
      </c>
      <c r="AC13">
        <f>SUBTOTAL(109,LIBRO[Total Haberes])</f>
        <v>11539436</v>
      </c>
      <c r="AD13">
        <f>SUBTOTAL(109,LIBRO[Base Imponible])</f>
        <v>10685436</v>
      </c>
      <c r="AE13">
        <f>SUBTOTAL(109,LIBRO[Base Tributable])</f>
        <v>8606172</v>
      </c>
      <c r="AF13">
        <f>SUBTOTAL(109,LIBRO[Total AFP])</f>
        <v>1198549</v>
      </c>
      <c r="AG13">
        <f>SUBTOTAL(109,LIBRO[Tasa AFP])</f>
        <v>100.46</v>
      </c>
      <c r="AH13">
        <f>SUBTOTAL(109,LIBRO[Solo AFP])</f>
        <v>1198549</v>
      </c>
      <c r="AI13">
        <f>SUBTOTAL(109,LIBRO[Adicional AFP])</f>
        <v>0</v>
      </c>
      <c r="AJ13">
        <f>SUBTOTAL(109,LIBRO[Tasa Adicional AFP])</f>
        <v>0</v>
      </c>
      <c r="AK13">
        <f>SUBTOTAL(109,LIBRO[INP])</f>
        <v>0</v>
      </c>
      <c r="AL13">
        <f>SUBTOTAL(109,LIBRO[Trabajo Pesado Empleado])</f>
        <v>0</v>
      </c>
      <c r="AM13">
        <f>SUBTOTAL(109,LIBRO[FONASA])</f>
        <v>660228</v>
      </c>
      <c r="AN13">
        <f>SUBTOTAL(109,LIBRO[ISAPRE])</f>
        <v>87754</v>
      </c>
      <c r="AO13">
        <f>SUBTOTAL(109,LIBRO[Adicional Salud])</f>
        <v>68620</v>
      </c>
      <c r="AP13">
        <f>SUBTOTAL(109,LIBRO[Total Salud])</f>
        <v>816602</v>
      </c>
      <c r="AQ13">
        <f>SUBTOTAL(109,LIBRO[AFC Empleado])</f>
        <v>64113</v>
      </c>
      <c r="AR13">
        <f>SUBTOTAL(109,LIBRO[Leyes Sociales])</f>
        <v>2079264</v>
      </c>
      <c r="AS13">
        <f>SUBTOTAL(109,LIBRO[Impuesto Unico])</f>
        <v>67430</v>
      </c>
      <c r="AT13">
        <f>SUBTOTAL(109,LIBRO[Rebaja Zona Extrema])</f>
        <v>0</v>
      </c>
      <c r="AU13">
        <f>SUBTOTAL(109,LIBRO[Cta Ahorro AFP])</f>
        <v>0</v>
      </c>
      <c r="AV13">
        <f>SUBTOTAL(109,LIBRO[APV A])</f>
        <v>0</v>
      </c>
      <c r="AW13">
        <f>SUBTOTAL(109,LIBRO[APV B])</f>
        <v>0</v>
      </c>
      <c r="AX13">
        <f>SUBTOTAL(109,LIBRO[APV C])</f>
        <v>0</v>
      </c>
      <c r="AY13">
        <f>SUBTOTAL(109,LIBRO[TOTAL APV])</f>
        <v>0</v>
      </c>
      <c r="AZ13">
        <f>SUBTOTAL(109,LIBRO[Anticipos])</f>
        <v>0</v>
      </c>
      <c r="BA13">
        <f>SUBTOTAL(109,LIBRO[Otros Descuentos])</f>
        <v>0</v>
      </c>
      <c r="BB13">
        <f>SUBTOTAL(109,LIBRO[Prestamos Caja])</f>
        <v>0</v>
      </c>
      <c r="BC13">
        <f>SUBTOTAL(109,LIBRO[Prestamo Social])</f>
        <v>0</v>
      </c>
      <c r="BD13">
        <f>SUBTOTAL(109,LIBRO[Prestamos Empresa])</f>
        <v>0</v>
      </c>
      <c r="BE13">
        <f>SUBTOTAL(109,LIBRO[Total Prestamos])</f>
        <v>0</v>
      </c>
      <c r="BF13">
        <f>SUBTOTAL(109,LIBRO[Seguros Dentales])</f>
        <v>0</v>
      </c>
      <c r="BG13">
        <f>SUBTOTAL(109,LIBRO[Ahorro Caja])</f>
        <v>0</v>
      </c>
      <c r="BH13">
        <f>SUBTOTAL(109,LIBRO[Seguros de Vida])</f>
        <v>0</v>
      </c>
      <c r="BI13">
        <f>SUBTOTAL(109,LIBRO[Cobertura de Suspension Total])</f>
        <v>0</v>
      </c>
      <c r="BJ13">
        <f>SUBTOTAL(109,LIBRO[Cobertura de Suspension])</f>
        <v>0</v>
      </c>
      <c r="BK13">
        <f>SUBTOTAL(109,LIBRO[Total Descuentos])</f>
        <v>2146694</v>
      </c>
      <c r="BL13">
        <f>SUBTOTAL(109,LIBRO[Sueldo Liquido])</f>
        <v>9392742</v>
      </c>
      <c r="BM13">
        <f>SUBTOTAL(109,LIBRO[AFC Empresa])</f>
        <v>256450</v>
      </c>
      <c r="BN13">
        <f>SUBTOTAL(109,LIBRO[SIS])</f>
        <v>200887</v>
      </c>
      <c r="BO13">
        <f>SUBTOTAL(109,LIBRO[MUTUAL])</f>
        <v>371852</v>
      </c>
      <c r="BP13">
        <f>SUBTOTAL(109,LIBRO[Caja Compensacion])</f>
        <v>0</v>
      </c>
      <c r="BQ13">
        <f>SUBTOTAL(109,LIBRO[COSTO EMPRESA])</f>
        <v>12368625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167</v>
      </c>
      <c r="G3" t="s">
        <v>168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84000</v>
      </c>
      <c r="G4">
        <v>84000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422500</v>
      </c>
      <c r="G5">
        <v>422500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228500</v>
      </c>
      <c r="G6">
        <v>228500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180000</v>
      </c>
      <c r="G7">
        <v>180000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339891</v>
      </c>
      <c r="G9">
        <v>339891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411000</v>
      </c>
      <c r="G11">
        <v>411000</v>
      </c>
    </row>
    <row r="12" spans="1:7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7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473000</v>
      </c>
      <c r="G13">
        <v>473000</v>
      </c>
    </row>
    <row r="14" spans="1:7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84000</v>
      </c>
      <c r="G15">
        <v>84000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1315800</v>
      </c>
      <c r="G16">
        <v>1315800</v>
      </c>
    </row>
    <row r="17" spans="1:7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180000</v>
      </c>
      <c r="G17">
        <v>180000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84000</v>
      </c>
      <c r="G18">
        <v>84000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84000</v>
      </c>
      <c r="G19">
        <v>84000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84000</v>
      </c>
      <c r="G20">
        <v>84000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258000</v>
      </c>
      <c r="G21">
        <v>258000</v>
      </c>
    </row>
    <row r="22" spans="1:7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352872</v>
      </c>
      <c r="G22">
        <v>352872</v>
      </c>
    </row>
    <row r="23" spans="1:7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84000</v>
      </c>
      <c r="G23">
        <v>84000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345891</v>
      </c>
      <c r="G24">
        <v>345891</v>
      </c>
    </row>
    <row r="25" spans="1:7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7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7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7" x14ac:dyDescent="0.25">
      <c r="A28" t="s">
        <v>166</v>
      </c>
      <c r="F28">
        <f>SUBTOTAL(109,BONOS[Total Bonos])</f>
        <v>5011454</v>
      </c>
      <c r="G28">
        <f>SUBTOTAL(109,BONOS[BONO PRODUCCION])</f>
        <v>5011454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169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6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6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6" x14ac:dyDescent="0.25">
      <c r="A28" t="s">
        <v>166</v>
      </c>
      <c r="F28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20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6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6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6" x14ac:dyDescent="0.25">
      <c r="A28" t="s">
        <v>166</v>
      </c>
      <c r="F28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170</v>
      </c>
      <c r="G3" t="s">
        <v>171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400000</v>
      </c>
      <c r="G7">
        <v>400000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0</v>
      </c>
    </row>
    <row r="12" spans="1:7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7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0</v>
      </c>
    </row>
    <row r="14" spans="1:7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0</v>
      </c>
    </row>
    <row r="17" spans="1:7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0</v>
      </c>
    </row>
    <row r="22" spans="1:7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0</v>
      </c>
    </row>
    <row r="23" spans="1:7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0</v>
      </c>
    </row>
    <row r="25" spans="1:7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7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7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7" x14ac:dyDescent="0.25">
      <c r="A28" t="s">
        <v>166</v>
      </c>
      <c r="F28">
        <f>SUBTOTAL(109,NOIMPONIBLE[Total Bonos No Imponibles])</f>
        <v>400000</v>
      </c>
      <c r="G28">
        <f>SUBTOTAL(109,NOIMPONIBLE[DESGASTE DE HERRAMIENTAS])</f>
        <v>400000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56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6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6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6" x14ac:dyDescent="0.25">
      <c r="A28" t="s">
        <v>166</v>
      </c>
      <c r="F28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172</v>
      </c>
      <c r="G3" t="s">
        <v>173</v>
      </c>
    </row>
    <row r="4" spans="1:7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50000</v>
      </c>
      <c r="G4">
        <v>50000</v>
      </c>
    </row>
    <row r="5" spans="1:7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7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7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50000</v>
      </c>
      <c r="G7">
        <v>50000</v>
      </c>
    </row>
    <row r="8" spans="1:7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7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0</v>
      </c>
    </row>
    <row r="10" spans="1:7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0</v>
      </c>
    </row>
    <row r="12" spans="1:7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7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0</v>
      </c>
    </row>
    <row r="14" spans="1:7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50000</v>
      </c>
      <c r="G15">
        <v>50000</v>
      </c>
    </row>
    <row r="16" spans="1:7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0</v>
      </c>
    </row>
    <row r="17" spans="1:7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50000</v>
      </c>
      <c r="G17">
        <v>50000</v>
      </c>
    </row>
    <row r="18" spans="1:7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50000</v>
      </c>
      <c r="G18">
        <v>50000</v>
      </c>
    </row>
    <row r="19" spans="1:7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7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50000</v>
      </c>
      <c r="G20">
        <v>50000</v>
      </c>
    </row>
    <row r="21" spans="1:7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0</v>
      </c>
    </row>
    <row r="22" spans="1:7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0</v>
      </c>
    </row>
    <row r="23" spans="1:7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7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0</v>
      </c>
    </row>
    <row r="25" spans="1:7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7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7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7" x14ac:dyDescent="0.25">
      <c r="A28" t="s">
        <v>166</v>
      </c>
      <c r="F28">
        <f>SUBTOTAL(109,ANTICIPOS[Total Anticipos])</f>
        <v>300000</v>
      </c>
      <c r="G28">
        <f>SUBTOTAL(109,ANTICIPOS[ANTICIPO DE SUELDO])</f>
        <v>300000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174</v>
      </c>
    </row>
    <row r="4" spans="1:6" x14ac:dyDescent="0.25">
      <c r="A4" t="s">
        <v>68</v>
      </c>
      <c r="B4" t="s">
        <v>69</v>
      </c>
      <c r="C4" t="s">
        <v>70</v>
      </c>
      <c r="D4" t="s">
        <v>71</v>
      </c>
      <c r="E4" t="s">
        <v>72</v>
      </c>
      <c r="F4">
        <v>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>
        <v>0</v>
      </c>
    </row>
    <row r="6" spans="1:6" x14ac:dyDescent="0.25">
      <c r="A6" t="s">
        <v>79</v>
      </c>
      <c r="B6" t="s">
        <v>80</v>
      </c>
      <c r="C6" t="s">
        <v>81</v>
      </c>
      <c r="D6" t="s">
        <v>82</v>
      </c>
      <c r="E6" t="s">
        <v>77</v>
      </c>
      <c r="F6">
        <v>0</v>
      </c>
    </row>
    <row r="7" spans="1:6" x14ac:dyDescent="0.25">
      <c r="A7" t="s">
        <v>84</v>
      </c>
      <c r="B7" t="s">
        <v>85</v>
      </c>
      <c r="C7" t="s">
        <v>86</v>
      </c>
      <c r="D7" t="s">
        <v>87</v>
      </c>
      <c r="E7" t="s">
        <v>72</v>
      </c>
      <c r="F7">
        <v>0</v>
      </c>
    </row>
    <row r="8" spans="1:6" x14ac:dyDescent="0.25">
      <c r="A8" t="s">
        <v>88</v>
      </c>
      <c r="B8" t="s">
        <v>89</v>
      </c>
      <c r="C8" t="s">
        <v>82</v>
      </c>
      <c r="D8" t="s">
        <v>90</v>
      </c>
      <c r="E8" t="s">
        <v>72</v>
      </c>
      <c r="F8">
        <v>0</v>
      </c>
    </row>
    <row r="9" spans="1:6" x14ac:dyDescent="0.25">
      <c r="A9" t="s">
        <v>91</v>
      </c>
      <c r="B9" t="s">
        <v>92</v>
      </c>
      <c r="C9" t="s">
        <v>93</v>
      </c>
      <c r="D9" t="s">
        <v>93</v>
      </c>
      <c r="E9" t="s">
        <v>77</v>
      </c>
      <c r="F9">
        <v>0</v>
      </c>
    </row>
    <row r="10" spans="1:6" x14ac:dyDescent="0.25">
      <c r="A10" t="s">
        <v>95</v>
      </c>
      <c r="B10" t="s">
        <v>96</v>
      </c>
      <c r="C10" t="s">
        <v>97</v>
      </c>
      <c r="D10" t="s">
        <v>97</v>
      </c>
      <c r="E10" t="s">
        <v>72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77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106</v>
      </c>
      <c r="F12">
        <v>0</v>
      </c>
    </row>
    <row r="13" spans="1:6" x14ac:dyDescent="0.25">
      <c r="A13" t="s">
        <v>107</v>
      </c>
      <c r="B13" t="s">
        <v>108</v>
      </c>
      <c r="C13" t="s">
        <v>109</v>
      </c>
      <c r="D13" t="s">
        <v>110</v>
      </c>
      <c r="E13" t="s">
        <v>77</v>
      </c>
      <c r="F13">
        <v>0</v>
      </c>
    </row>
    <row r="14" spans="1:6" x14ac:dyDescent="0.25">
      <c r="A14" t="s">
        <v>111</v>
      </c>
      <c r="B14" t="s">
        <v>112</v>
      </c>
      <c r="C14" t="s">
        <v>113</v>
      </c>
      <c r="D14" t="s">
        <v>114</v>
      </c>
      <c r="E14" t="s">
        <v>72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72</v>
      </c>
      <c r="F15">
        <v>0</v>
      </c>
    </row>
    <row r="16" spans="1:6" x14ac:dyDescent="0.25">
      <c r="A16" t="s">
        <v>119</v>
      </c>
      <c r="B16" t="s">
        <v>120</v>
      </c>
      <c r="C16" t="s">
        <v>121</v>
      </c>
      <c r="D16" t="s">
        <v>122</v>
      </c>
      <c r="E16" t="s">
        <v>77</v>
      </c>
      <c r="F16">
        <v>0</v>
      </c>
    </row>
    <row r="17" spans="1:6" x14ac:dyDescent="0.25">
      <c r="A17" t="s">
        <v>124</v>
      </c>
      <c r="B17" t="s">
        <v>125</v>
      </c>
      <c r="C17" t="s">
        <v>126</v>
      </c>
      <c r="D17" t="s">
        <v>127</v>
      </c>
      <c r="E17" t="s">
        <v>72</v>
      </c>
      <c r="F17">
        <v>0</v>
      </c>
    </row>
    <row r="18" spans="1:6" x14ac:dyDescent="0.25">
      <c r="A18" t="s">
        <v>128</v>
      </c>
      <c r="B18" t="s">
        <v>129</v>
      </c>
      <c r="C18" t="s">
        <v>130</v>
      </c>
      <c r="D18" t="s">
        <v>131</v>
      </c>
      <c r="E18" t="s">
        <v>72</v>
      </c>
      <c r="F18">
        <v>0</v>
      </c>
    </row>
    <row r="19" spans="1:6" x14ac:dyDescent="0.25">
      <c r="A19" t="s">
        <v>132</v>
      </c>
      <c r="B19" t="s">
        <v>133</v>
      </c>
      <c r="C19" t="s">
        <v>134</v>
      </c>
      <c r="D19" t="s">
        <v>135</v>
      </c>
      <c r="E19" t="s">
        <v>72</v>
      </c>
      <c r="F19">
        <v>0</v>
      </c>
    </row>
    <row r="20" spans="1:6" x14ac:dyDescent="0.25">
      <c r="A20" t="s">
        <v>136</v>
      </c>
      <c r="B20" t="s">
        <v>137</v>
      </c>
      <c r="C20" t="s">
        <v>138</v>
      </c>
      <c r="D20" t="s">
        <v>139</v>
      </c>
      <c r="E20" t="s">
        <v>72</v>
      </c>
      <c r="F20">
        <v>0</v>
      </c>
    </row>
    <row r="21" spans="1:6" x14ac:dyDescent="0.25">
      <c r="A21" t="s">
        <v>140</v>
      </c>
      <c r="B21" t="s">
        <v>141</v>
      </c>
      <c r="C21" t="s">
        <v>142</v>
      </c>
      <c r="D21" t="s">
        <v>143</v>
      </c>
      <c r="E21" t="s">
        <v>77</v>
      </c>
      <c r="F21">
        <v>0</v>
      </c>
    </row>
    <row r="22" spans="1:6" x14ac:dyDescent="0.25">
      <c r="A22" t="s">
        <v>144</v>
      </c>
      <c r="B22" t="s">
        <v>145</v>
      </c>
      <c r="C22" t="s">
        <v>146</v>
      </c>
      <c r="D22" t="s">
        <v>147</v>
      </c>
      <c r="E22" t="s">
        <v>77</v>
      </c>
      <c r="F22">
        <v>0</v>
      </c>
    </row>
    <row r="23" spans="1:6" x14ac:dyDescent="0.25">
      <c r="A23" t="s">
        <v>148</v>
      </c>
      <c r="B23" t="s">
        <v>149</v>
      </c>
      <c r="C23" t="s">
        <v>138</v>
      </c>
      <c r="D23" t="s">
        <v>150</v>
      </c>
      <c r="E23" t="s">
        <v>72</v>
      </c>
      <c r="F23">
        <v>0</v>
      </c>
    </row>
    <row r="24" spans="1:6" x14ac:dyDescent="0.25">
      <c r="A24" t="s">
        <v>151</v>
      </c>
      <c r="B24" t="s">
        <v>152</v>
      </c>
      <c r="C24" t="s">
        <v>153</v>
      </c>
      <c r="D24" t="s">
        <v>154</v>
      </c>
      <c r="E24" t="s">
        <v>77</v>
      </c>
      <c r="F24">
        <v>0</v>
      </c>
    </row>
    <row r="25" spans="1:6" x14ac:dyDescent="0.25">
      <c r="A25" t="s">
        <v>155</v>
      </c>
      <c r="B25" t="s">
        <v>156</v>
      </c>
      <c r="C25" t="s">
        <v>90</v>
      </c>
      <c r="D25" t="s">
        <v>157</v>
      </c>
      <c r="E25" t="s">
        <v>72</v>
      </c>
      <c r="F25">
        <v>0</v>
      </c>
    </row>
    <row r="26" spans="1:6" x14ac:dyDescent="0.25">
      <c r="A26" t="s">
        <v>158</v>
      </c>
      <c r="B26" t="s">
        <v>159</v>
      </c>
      <c r="C26" t="s">
        <v>160</v>
      </c>
      <c r="D26" t="s">
        <v>161</v>
      </c>
      <c r="E26" t="s">
        <v>106</v>
      </c>
      <c r="F26">
        <v>0</v>
      </c>
    </row>
    <row r="27" spans="1:6" x14ac:dyDescent="0.25">
      <c r="A27" t="s">
        <v>162</v>
      </c>
      <c r="B27" t="s">
        <v>163</v>
      </c>
      <c r="C27" t="s">
        <v>164</v>
      </c>
      <c r="D27" t="s">
        <v>165</v>
      </c>
      <c r="E27" t="s">
        <v>106</v>
      </c>
      <c r="F27">
        <v>0</v>
      </c>
    </row>
    <row r="28" spans="1:6" x14ac:dyDescent="0.25">
      <c r="A28" t="s">
        <v>166</v>
      </c>
      <c r="F28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2023-10-12T14:07:03Z</dcterms:created>
  <dcterms:modified xsi:type="dcterms:W3CDTF">2023-10-12T14:13:18Z</dcterms:modified>
  <cp:category/>
</cp:coreProperties>
</file>