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64011"/>
  <bookViews>
    <workbookView xWindow="0" yWindow="0" windowWidth="28800" windowHeight="12210"/>
  </bookViews>
  <sheets>
    <sheet name="LIBRO" sheetId="1" r:id="rId1"/>
    <sheet name="BONOS" sheetId="2" r:id="rId2"/>
    <sheet name="HORA EXTRA" sheetId="3" r:id="rId3"/>
    <sheet name="COMISIONES" sheetId="4" r:id="rId4"/>
    <sheet name="NO IMPONIBLE" sheetId="5" r:id="rId5"/>
    <sheet name="PRESTAMOS" sheetId="6" r:id="rId6"/>
    <sheet name="ANTICIPOS" sheetId="7" r:id="rId7"/>
    <sheet name="DESCUENTOS" sheetId="8" r:id="rId8"/>
  </sheets>
  <calcPr calcId="162913"/>
</workbook>
</file>

<file path=xl/calcChain.xml><?xml version="1.0" encoding="utf-8"?>
<calcChain xmlns="http://schemas.openxmlformats.org/spreadsheetml/2006/main">
  <c r="BP5" i="1" l="1"/>
  <c r="BP6" i="1"/>
  <c r="BP7" i="1"/>
  <c r="BP8" i="1"/>
  <c r="BP9" i="1"/>
  <c r="BP10" i="1"/>
  <c r="BP11" i="1"/>
  <c r="BP12" i="1"/>
  <c r="BP4" i="1"/>
  <c r="F13" i="8"/>
  <c r="F13" i="7"/>
  <c r="F13" i="6"/>
  <c r="F13" i="5"/>
  <c r="F13" i="4"/>
  <c r="F13" i="3"/>
  <c r="G13" i="2"/>
  <c r="F13" i="2"/>
  <c r="BP13" i="1"/>
  <c r="BO13" i="1"/>
  <c r="BN13" i="1"/>
  <c r="BM13" i="1"/>
  <c r="BL13" i="1"/>
  <c r="BK13" i="1"/>
  <c r="BJ13" i="1"/>
  <c r="BI13" i="1"/>
  <c r="BH13" i="1"/>
  <c r="BG13" i="1"/>
  <c r="BF13" i="1"/>
  <c r="BE13" i="1"/>
  <c r="BD13" i="1"/>
  <c r="BC13" i="1"/>
  <c r="BB13" i="1"/>
  <c r="BA13" i="1"/>
  <c r="AZ13" i="1"/>
  <c r="AY13" i="1"/>
  <c r="AX13" i="1"/>
  <c r="AW13" i="1"/>
  <c r="AV13" i="1"/>
  <c r="AU13" i="1"/>
  <c r="AT13" i="1"/>
  <c r="AS13" i="1"/>
  <c r="AR13" i="1"/>
  <c r="AQ13" i="1"/>
  <c r="AP13" i="1"/>
  <c r="AO13" i="1"/>
  <c r="AN13" i="1"/>
  <c r="AM13" i="1"/>
  <c r="AL13" i="1"/>
  <c r="AK13" i="1"/>
  <c r="AJ13" i="1"/>
  <c r="AI13" i="1"/>
  <c r="AH13" i="1"/>
  <c r="AG13" i="1"/>
  <c r="AF13" i="1"/>
  <c r="AE13" i="1"/>
  <c r="AD13" i="1"/>
  <c r="AC13" i="1"/>
  <c r="AB13" i="1"/>
  <c r="AA13" i="1"/>
  <c r="Z13" i="1"/>
  <c r="Y13" i="1"/>
  <c r="X13" i="1"/>
  <c r="W13" i="1"/>
  <c r="V13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<sst xmlns="http://schemas.openxmlformats.org/spreadsheetml/2006/main" count="489" uniqueCount="116">
  <si>
    <t>RUT</t>
  </si>
  <si>
    <t>Nombre</t>
  </si>
  <si>
    <t>Apellido Paterno</t>
  </si>
  <si>
    <t>Apellido Materno</t>
  </si>
  <si>
    <t>Centro Negocio</t>
  </si>
  <si>
    <t>Cargo</t>
  </si>
  <si>
    <t>Dias Trabajados</t>
  </si>
  <si>
    <t>Dias Licencia</t>
  </si>
  <si>
    <t>Dias Ausencia</t>
  </si>
  <si>
    <t>Dias Vacaciones</t>
  </si>
  <si>
    <t>Dias de Suspension</t>
  </si>
  <si>
    <t>Sueldo de Suspension</t>
  </si>
  <si>
    <t>Sueldo AFC de Suspension</t>
  </si>
  <si>
    <t>Sueldo Base Proporcional</t>
  </si>
  <si>
    <t>Cant Hrs Atraso</t>
  </si>
  <si>
    <t>Monto Por Atraso</t>
  </si>
  <si>
    <t>Gratificacion</t>
  </si>
  <si>
    <t>Hora Extra</t>
  </si>
  <si>
    <t>Bonos Imponibles</t>
  </si>
  <si>
    <t>Total Comisiones</t>
  </si>
  <si>
    <t>Semana Corrida</t>
  </si>
  <si>
    <t>Total Haberes Imponibles</t>
  </si>
  <si>
    <t>Movilizacion</t>
  </si>
  <si>
    <t>Colacion</t>
  </si>
  <si>
    <t>Cargas Familiares</t>
  </si>
  <si>
    <t>Bonos No Imponibles</t>
  </si>
  <si>
    <t>Total Haberes No Imponibles</t>
  </si>
  <si>
    <t>Total Haberes</t>
  </si>
  <si>
    <t>Base Imponible</t>
  </si>
  <si>
    <t>Base Tributable</t>
  </si>
  <si>
    <t>Total AFP</t>
  </si>
  <si>
    <t>Tasa AFP</t>
  </si>
  <si>
    <t>Solo AFP</t>
  </si>
  <si>
    <t>Adicional AFP</t>
  </si>
  <si>
    <t>Tasa Adicional AFP</t>
  </si>
  <si>
    <t>INP</t>
  </si>
  <si>
    <t>Trabajo Pesado Empleado</t>
  </si>
  <si>
    <t>FONASA</t>
  </si>
  <si>
    <t>ISAPRE</t>
  </si>
  <si>
    <t>Adicional Salud</t>
  </si>
  <si>
    <t>Total Salud</t>
  </si>
  <si>
    <t>AFC Empleado</t>
  </si>
  <si>
    <t>Leyes Sociales</t>
  </si>
  <si>
    <t>Impuesto Unico</t>
  </si>
  <si>
    <t>Rebaja Zona Extrema</t>
  </si>
  <si>
    <t>Cta Ahorro AFP</t>
  </si>
  <si>
    <t>APV A</t>
  </si>
  <si>
    <t>APV B</t>
  </si>
  <si>
    <t>APV C</t>
  </si>
  <si>
    <t>TOTAL APV</t>
  </si>
  <si>
    <t>Anticipos</t>
  </si>
  <si>
    <t>Otros Descuentos</t>
  </si>
  <si>
    <t>Prestamos Caja</t>
  </si>
  <si>
    <t>Prestamo Social</t>
  </si>
  <si>
    <t>Prestamos Empresa</t>
  </si>
  <si>
    <t>Total Prestamos</t>
  </si>
  <si>
    <t>Seguros Dentales</t>
  </si>
  <si>
    <t>Ahorro Caja</t>
  </si>
  <si>
    <t>Seguros de Vida</t>
  </si>
  <si>
    <t>Cobertura de Suspension Total</t>
  </si>
  <si>
    <t>Cobertura de Suspension</t>
  </si>
  <si>
    <t>Total Descuentos</t>
  </si>
  <si>
    <t>Sueldo Liquido</t>
  </si>
  <si>
    <t>AFC Empresa</t>
  </si>
  <si>
    <t>SIS</t>
  </si>
  <si>
    <t>MUTUAL</t>
  </si>
  <si>
    <t>Caja Compensacion</t>
  </si>
  <si>
    <t>24.349.134-7</t>
  </si>
  <si>
    <t>Jhonny franck</t>
  </si>
  <si>
    <t>Andrade</t>
  </si>
  <si>
    <t>Martinez</t>
  </si>
  <si>
    <t>CONSECIONARIA G21</t>
  </si>
  <si>
    <t>MAESTRO</t>
  </si>
  <si>
    <t>21.161.290-8</t>
  </si>
  <si>
    <t>IGNACIO DAMIAN</t>
  </si>
  <si>
    <t>VALENZUELA</t>
  </si>
  <si>
    <t>RODRIGUEZ</t>
  </si>
  <si>
    <t>AYUDANTE</t>
  </si>
  <si>
    <t>26.406.829-0</t>
  </si>
  <si>
    <t>Doudley</t>
  </si>
  <si>
    <t>Nelson</t>
  </si>
  <si>
    <t>AYUDANTE DE MAESTRO</t>
  </si>
  <si>
    <t>9.451.186-0</t>
  </si>
  <si>
    <t>Gustavo enrique</t>
  </si>
  <si>
    <t>Mellado</t>
  </si>
  <si>
    <t>Oses</t>
  </si>
  <si>
    <t>13.030.425-7</t>
  </si>
  <si>
    <t>Carlos antonio</t>
  </si>
  <si>
    <t>Valenzuela</t>
  </si>
  <si>
    <t>Salazar</t>
  </si>
  <si>
    <t>15.807.231-9</t>
  </si>
  <si>
    <t>Rodrigo andres</t>
  </si>
  <si>
    <t>Palma</t>
  </si>
  <si>
    <t>Arce</t>
  </si>
  <si>
    <t>JEFE DE TERRENO</t>
  </si>
  <si>
    <t>10.188.659-K</t>
  </si>
  <si>
    <t>MARIO ORLANDO</t>
  </si>
  <si>
    <t>DIAZ</t>
  </si>
  <si>
    <t>NOGUERA</t>
  </si>
  <si>
    <t>12.318.590-0</t>
  </si>
  <si>
    <t>Alessandro marcelo</t>
  </si>
  <si>
    <t>Zarate</t>
  </si>
  <si>
    <t>Leiva</t>
  </si>
  <si>
    <t>27.003.198-6</t>
  </si>
  <si>
    <t>CHAVANES</t>
  </si>
  <si>
    <t>LUCIEN</t>
  </si>
  <si>
    <t/>
  </si>
  <si>
    <t>Total</t>
  </si>
  <si>
    <t>Total Bonos</t>
  </si>
  <si>
    <t>PRODUCCION</t>
  </si>
  <si>
    <t>Total Hora Extra</t>
  </si>
  <si>
    <t>Total Bonos No Imponibles</t>
  </si>
  <si>
    <t>Total Anticipos</t>
  </si>
  <si>
    <t>Total Otros Descuentos</t>
  </si>
  <si>
    <t>COSTO EMPRESA</t>
  </si>
  <si>
    <t>Totales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</si>
</sst>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2" borderId="0" xfId="0" applyFill="1"/>
  </cellXfs>
  <cellStyles count="1">
    <cellStyle name="Normal" xfId="0" builtinId="0"/>
  </cellStyles>
  <dxfs count="1">
    <dxf>
      <fill>
        <patternFill patternType="solid">
          <fgColor indexed="64"/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LIBRO" displayName="LIBRO" ref="A3:BP13" totalsRowCount="1">
  <autoFilter ref="A3:BP12"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  <filterColumn colId="25" hiddenButton="1"/>
    <filterColumn colId="26" hiddenButton="1"/>
    <filterColumn colId="27" hiddenButton="1"/>
    <filterColumn colId="28" hiddenButton="1"/>
    <filterColumn colId="29" hiddenButton="1"/>
    <filterColumn colId="30" hiddenButton="1"/>
    <filterColumn colId="31" hiddenButton="1"/>
    <filterColumn colId="32" hiddenButton="1"/>
    <filterColumn colId="33" hiddenButton="1"/>
    <filterColumn colId="34" hiddenButton="1"/>
    <filterColumn colId="35" hiddenButton="1"/>
    <filterColumn colId="36" hiddenButton="1"/>
    <filterColumn colId="37" hiddenButton="1"/>
    <filterColumn colId="38" hiddenButton="1"/>
    <filterColumn colId="39" hiddenButton="1"/>
    <filterColumn colId="40" hiddenButton="1"/>
    <filterColumn colId="41" hiddenButton="1"/>
    <filterColumn colId="42" hiddenButton="1"/>
    <filterColumn colId="43" hiddenButton="1"/>
    <filterColumn colId="44" hiddenButton="1"/>
    <filterColumn colId="45" hiddenButton="1"/>
    <filterColumn colId="46" hiddenButton="1"/>
    <filterColumn colId="47" hiddenButton="1"/>
    <filterColumn colId="48" hiddenButton="1"/>
    <filterColumn colId="49" hiddenButton="1"/>
    <filterColumn colId="50" hiddenButton="1"/>
    <filterColumn colId="51" hiddenButton="1"/>
    <filterColumn colId="52" hiddenButton="1"/>
    <filterColumn colId="53" hiddenButton="1"/>
    <filterColumn colId="54" hiddenButton="1"/>
    <filterColumn colId="55" hiddenButton="1"/>
    <filterColumn colId="56" hiddenButton="1"/>
    <filterColumn colId="57" hiddenButton="1"/>
    <filterColumn colId="58" hiddenButton="1"/>
    <filterColumn colId="59" hiddenButton="1"/>
    <filterColumn colId="60" hiddenButton="1"/>
    <filterColumn colId="61" hiddenButton="1"/>
    <filterColumn colId="62" hiddenButton="1"/>
    <filterColumn colId="63" hiddenButton="1"/>
    <filterColumn colId="64" hiddenButton="1"/>
    <filterColumn colId="65" hiddenButton="1"/>
    <filterColumn colId="66" hiddenButton="1"/>
    <filterColumn colId="67" hiddenButton="1"/>
  </autoFilter>
  <tableColumns count="68">
    <tableColumn id="1" name="RUT" totalsRowLabel="Total"/>
    <tableColumn id="2" name="Nombre" totalsRowLabel="Totales"/>
    <tableColumn id="3" name="Apellido Paterno"/>
    <tableColumn id="4" name="Apellido Materno"/>
    <tableColumn id="5" name="Centro Negocio"/>
    <tableColumn id="6" name="Cargo" totalsRowFunction="sum"/>
    <tableColumn id="7" name="Dias Trabajados" totalsRowFunction="sum"/>
    <tableColumn id="8" name="Dias Licencia" totalsRowFunction="sum"/>
    <tableColumn id="9" name="Dias Ausencia" totalsRowFunction="sum"/>
    <tableColumn id="10" name="Dias Vacaciones" totalsRowFunction="sum"/>
    <tableColumn id="11" name="Dias de Suspension" totalsRowFunction="sum"/>
    <tableColumn id="12" name="Sueldo de Suspension" totalsRowFunction="sum"/>
    <tableColumn id="13" name="Sueldo AFC de Suspension" totalsRowFunction="sum"/>
    <tableColumn id="14" name="Sueldo Base Proporcional" totalsRowFunction="sum"/>
    <tableColumn id="15" name="Cant Hrs Atraso" totalsRowFunction="sum"/>
    <tableColumn id="16" name="Monto Por Atraso" totalsRowFunction="sum"/>
    <tableColumn id="17" name="Gratificacion" totalsRowFunction="sum"/>
    <tableColumn id="18" name="Hora Extra" totalsRowFunction="sum"/>
    <tableColumn id="19" name="Bonos Imponibles" totalsRowFunction="sum"/>
    <tableColumn id="20" name="Total Comisiones" totalsRowFunction="sum"/>
    <tableColumn id="21" name="Semana Corrida" totalsRowFunction="sum"/>
    <tableColumn id="22" name="Total Haberes Imponibles" totalsRowFunction="sum"/>
    <tableColumn id="23" name="Movilizacion" totalsRowFunction="sum"/>
    <tableColumn id="24" name="Colacion" totalsRowFunction="sum"/>
    <tableColumn id="25" name="Cargas Familiares" totalsRowFunction="sum"/>
    <tableColumn id="26" name="Bonos No Imponibles" totalsRowFunction="sum"/>
    <tableColumn id="27" name="Total Haberes No Imponibles" totalsRowFunction="sum"/>
    <tableColumn id="28" name="Total Haberes" totalsRowFunction="sum" totalsRowDxfId="0"/>
    <tableColumn id="29" name="Base Imponible" totalsRowFunction="sum"/>
    <tableColumn id="30" name="Base Tributable" totalsRowFunction="sum"/>
    <tableColumn id="31" name="Total AFP" totalsRowFunction="sum"/>
    <tableColumn id="32" name="Tasa AFP" totalsRowFunction="sum"/>
    <tableColumn id="33" name="Solo AFP" totalsRowFunction="sum"/>
    <tableColumn id="34" name="Adicional AFP" totalsRowFunction="sum"/>
    <tableColumn id="35" name="Tasa Adicional AFP" totalsRowFunction="sum"/>
    <tableColumn id="36" name="INP" totalsRowFunction="sum"/>
    <tableColumn id="37" name="Trabajo Pesado Empleado" totalsRowFunction="sum"/>
    <tableColumn id="38" name="FONASA" totalsRowFunction="sum"/>
    <tableColumn id="39" name="ISAPRE" totalsRowFunction="sum"/>
    <tableColumn id="40" name="Adicional Salud" totalsRowFunction="sum"/>
    <tableColumn id="41" name="Total Salud" totalsRowFunction="sum"/>
    <tableColumn id="42" name="AFC Empleado" totalsRowFunction="sum"/>
    <tableColumn id="43" name="Leyes Sociales" totalsRowFunction="sum"/>
    <tableColumn id="44" name="Impuesto Unico" totalsRowFunction="sum"/>
    <tableColumn id="45" name="Rebaja Zona Extrema" totalsRowFunction="sum"/>
    <tableColumn id="46" name="Cta Ahorro AFP" totalsRowFunction="sum"/>
    <tableColumn id="47" name="APV A" totalsRowFunction="sum"/>
    <tableColumn id="48" name="APV B" totalsRowFunction="sum"/>
    <tableColumn id="49" name="APV C" totalsRowFunction="sum"/>
    <tableColumn id="50" name="TOTAL APV" totalsRowFunction="sum"/>
    <tableColumn id="51" name="Anticipos" totalsRowFunction="sum"/>
    <tableColumn id="52" name="Otros Descuentos" totalsRowFunction="sum"/>
    <tableColumn id="53" name="Prestamos Caja" totalsRowFunction="sum"/>
    <tableColumn id="54" name="Prestamo Social" totalsRowFunction="sum"/>
    <tableColumn id="55" name="Prestamos Empresa" totalsRowFunction="sum"/>
    <tableColumn id="56" name="Total Prestamos" totalsRowFunction="sum"/>
    <tableColumn id="57" name="Seguros Dentales" totalsRowFunction="sum"/>
    <tableColumn id="58" name="Ahorro Caja" totalsRowFunction="sum"/>
    <tableColumn id="59" name="Seguros de Vida" totalsRowFunction="sum"/>
    <tableColumn id="60" name="Cobertura de Suspension Total" totalsRowFunction="sum"/>
    <tableColumn id="61" name="Cobertura de Suspension" totalsRowFunction="sum"/>
    <tableColumn id="62" name="Total Descuentos" totalsRowFunction="sum"/>
    <tableColumn id="63" name="Sueldo Liquido" totalsRowFunction="sum"/>
    <tableColumn id="64" name="AFC Empresa" totalsRowFunction="sum"/>
    <tableColumn id="65" name="SIS" totalsRowFunction="sum"/>
    <tableColumn id="66" name="MUTUAL" totalsRowFunction="sum"/>
    <tableColumn id="67" name="Caja Compensacion" totalsRowFunction="sum"/>
    <tableColumn id="68" name="COSTO EMPRESA" totalsRowFunction="sum">
      <calculatedColumnFormula>SUM(BL4:BN4,AB4)</calculatedColumnFormula>
    </tableColumn>
  </tableColumns>
  <tableStyleInfo name="TableStyleLight1" showFirstColumn="0" showLastColumn="0" showRowStripes="0" showColumnStripes="0"/>
</table>
</file>

<file path=xl/tables/table2.xml><?xml version="1.0" encoding="utf-8"?>
<table xmlns="http://schemas.openxmlformats.org/spreadsheetml/2006/main" id="2" name="BONOS" displayName="BONOS" ref="A3:G13" totalsRowCount="1">
  <autoFilter ref="A3:G12">
    <filterColumn colId="5" hiddenButton="1"/>
    <filterColumn colId="6" hiddenButton="1"/>
  </autoFilter>
  <tableColumns count="7">
    <tableColumn id="1" name="RUT" totalsRowLabel="Total"/>
    <tableColumn id="2" name="Nombre" totalsRowLabel="Totales"/>
    <tableColumn id="3" name="Apellido Paterno"/>
    <tableColumn id="4" name="Apellido Materno"/>
    <tableColumn id="5" name="Centro Negocio"/>
    <tableColumn id="6" name="Total Bonos" totalsRowFunction="sum"/>
    <tableColumn id="7" name="PRODUCCION" totalsRowFunction="sum"/>
  </tableColumns>
  <tableStyleInfo name="TableStyleLight1" showFirstColumn="0" showLastColumn="0" showRowStripes="0" showColumnStripes="0"/>
</table>
</file>

<file path=xl/tables/table3.xml><?xml version="1.0" encoding="utf-8"?>
<table xmlns="http://schemas.openxmlformats.org/spreadsheetml/2006/main" id="3" name="HORAEXTRA" displayName="HORAEXTRA" ref="A3:F13" totalsRowCount="1">
  <autoFilter ref="A3:F12">
    <filterColumn colId="5" hiddenButton="1"/>
  </autoFilter>
  <tableColumns count="6">
    <tableColumn id="1" name="RUT" totalsRowLabel="Total"/>
    <tableColumn id="2" name="Nombre" totalsRowLabel="Totales"/>
    <tableColumn id="3" name="Apellido Paterno"/>
    <tableColumn id="4" name="Apellido Materno"/>
    <tableColumn id="5" name="Centro Negocio"/>
    <tableColumn id="6" name="Total Hora Extra" totalsRowFunction="sum"/>
  </tableColumns>
  <tableStyleInfo name="TableStyleLight1" showFirstColumn="0" showLastColumn="0" showRowStripes="0" showColumnStripes="0"/>
</table>
</file>

<file path=xl/tables/table4.xml><?xml version="1.0" encoding="utf-8"?>
<table xmlns="http://schemas.openxmlformats.org/spreadsheetml/2006/main" id="4" name="COMISIONES" displayName="COMISIONES" ref="A3:F13" totalsRowCount="1">
  <autoFilter ref="A3:F12">
    <filterColumn colId="5" hiddenButton="1"/>
  </autoFilter>
  <tableColumns count="6">
    <tableColumn id="1" name="RUT" totalsRowLabel="Total"/>
    <tableColumn id="2" name="Nombre" totalsRowLabel="Totales"/>
    <tableColumn id="3" name="Apellido Paterno"/>
    <tableColumn id="4" name="Apellido Materno"/>
    <tableColumn id="5" name="Centro Negocio"/>
    <tableColumn id="6" name="Total Comisiones" totalsRowFunction="sum"/>
  </tableColumns>
  <tableStyleInfo name="TableStyleLight1" showFirstColumn="0" showLastColumn="0" showRowStripes="0" showColumnStripes="0"/>
</table>
</file>

<file path=xl/tables/table5.xml><?xml version="1.0" encoding="utf-8"?>
<table xmlns="http://schemas.openxmlformats.org/spreadsheetml/2006/main" id="5" name="NOIMPONIBLE" displayName="NOIMPONIBLE" ref="A3:F13" totalsRowCount="1">
  <autoFilter ref="A3:F12">
    <filterColumn colId="5" hiddenButton="1"/>
  </autoFilter>
  <tableColumns count="6">
    <tableColumn id="1" name="RUT" totalsRowLabel="Total"/>
    <tableColumn id="2" name="Nombre" totalsRowLabel="Totales"/>
    <tableColumn id="3" name="Apellido Paterno"/>
    <tableColumn id="4" name="Apellido Materno"/>
    <tableColumn id="5" name="Centro Negocio"/>
    <tableColumn id="6" name="Total Bonos No Imponibles" totalsRowFunction="sum"/>
  </tableColumns>
  <tableStyleInfo name="TableStyleLight1" showFirstColumn="0" showLastColumn="0" showRowStripes="0" showColumnStripes="0"/>
</table>
</file>

<file path=xl/tables/table6.xml><?xml version="1.0" encoding="utf-8"?>
<table xmlns="http://schemas.openxmlformats.org/spreadsheetml/2006/main" id="6" name="PRESTAMOS" displayName="PRESTAMOS" ref="A3:F13" totalsRowCount="1">
  <autoFilter ref="A3:F12">
    <filterColumn colId="5" hiddenButton="1"/>
  </autoFilter>
  <tableColumns count="6">
    <tableColumn id="1" name="RUT" totalsRowLabel="Total"/>
    <tableColumn id="2" name="Nombre" totalsRowLabel="Totales"/>
    <tableColumn id="3" name="Apellido Paterno"/>
    <tableColumn id="4" name="Apellido Materno"/>
    <tableColumn id="5" name="Centro Negocio"/>
    <tableColumn id="6" name="Total Prestamos" totalsRowFunction="sum"/>
  </tableColumns>
  <tableStyleInfo name="TableStyleLight1" showFirstColumn="0" showLastColumn="0" showRowStripes="0" showColumnStripes="0"/>
</table>
</file>

<file path=xl/tables/table7.xml><?xml version="1.0" encoding="utf-8"?>
<table xmlns="http://schemas.openxmlformats.org/spreadsheetml/2006/main" id="7" name="ANTICIPOS" displayName="ANTICIPOS" ref="A3:F13" totalsRowCount="1">
  <autoFilter ref="A3:F12">
    <filterColumn colId="5" hiddenButton="1"/>
  </autoFilter>
  <tableColumns count="6">
    <tableColumn id="1" name="RUT" totalsRowLabel="Total"/>
    <tableColumn id="2" name="Nombre" totalsRowLabel="Totales"/>
    <tableColumn id="3" name="Apellido Paterno"/>
    <tableColumn id="4" name="Apellido Materno"/>
    <tableColumn id="5" name="Centro Negocio"/>
    <tableColumn id="6" name="Total Anticipos" totalsRowFunction="sum"/>
  </tableColumns>
  <tableStyleInfo name="TableStyleLight1" showFirstColumn="0" showLastColumn="0" showRowStripes="0" showColumnStripes="0"/>
</table>
</file>

<file path=xl/tables/table8.xml><?xml version="1.0" encoding="utf-8"?>
<table xmlns="http://schemas.openxmlformats.org/spreadsheetml/2006/main" id="8" name="DESCUENTOS" displayName="DESCUENTOS" ref="A3:F13" totalsRowCount="1">
  <autoFilter ref="A3:F12">
    <filterColumn colId="5" hiddenButton="1"/>
  </autoFilter>
  <tableColumns count="6">
    <tableColumn id="1" name="RUT" totalsRowLabel="Total"/>
    <tableColumn id="2" name="Nombre" totalsRowLabel="Totales"/>
    <tableColumn id="3" name="Apellido Paterno"/>
    <tableColumn id="4" name="Apellido Materno"/>
    <tableColumn id="5" name="Centro Negocio"/>
    <tableColumn id="6" name="Total Otros Descuentos" totalsRowFunction="sum"/>
  </tableColumns>
  <tableStyleInfo name="TableStyleLight1" showFirstColumn="0" showLastColumn="0" showRowStripes="0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P13"/>
  <sheetViews>
    <sheetView tabSelected="1" topLeftCell="AX1" workbookViewId="0">
      <selection activeCell="BL17" sqref="BL17"/>
    </sheetView>
  </sheetViews>
  <sheetFormatPr baseColWidth="10" defaultColWidth="9.140625" defaultRowHeight="15" x14ac:dyDescent="0.25"/>
  <cols>
    <col min="68" max="68" width="15.85546875" bestFit="1" customWidth="1"/>
  </cols>
  <sheetData>
    <row r="3" spans="1:68" x14ac:dyDescent="0.25">
      <c r="A3" t="s">
        <v>0</v>
      </c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6</v>
      </c>
      <c r="H3" t="s">
        <v>7</v>
      </c>
      <c r="I3" t="s">
        <v>8</v>
      </c>
      <c r="J3" t="s">
        <v>9</v>
      </c>
      <c r="K3" t="s">
        <v>10</v>
      </c>
      <c r="L3" t="s">
        <v>11</v>
      </c>
      <c r="M3" t="s">
        <v>12</v>
      </c>
      <c r="N3" t="s">
        <v>13</v>
      </c>
      <c r="O3" t="s">
        <v>14</v>
      </c>
      <c r="P3" t="s">
        <v>15</v>
      </c>
      <c r="Q3" t="s">
        <v>16</v>
      </c>
      <c r="R3" t="s">
        <v>17</v>
      </c>
      <c r="S3" t="s">
        <v>18</v>
      </c>
      <c r="T3" t="s">
        <v>19</v>
      </c>
      <c r="U3" t="s">
        <v>20</v>
      </c>
      <c r="V3" t="s">
        <v>21</v>
      </c>
      <c r="W3" t="s">
        <v>22</v>
      </c>
      <c r="X3" t="s">
        <v>23</v>
      </c>
      <c r="Y3" t="s">
        <v>24</v>
      </c>
      <c r="Z3" t="s">
        <v>25</v>
      </c>
      <c r="AA3" t="s">
        <v>26</v>
      </c>
      <c r="AB3" t="s">
        <v>27</v>
      </c>
      <c r="AC3" t="s">
        <v>28</v>
      </c>
      <c r="AD3" t="s">
        <v>29</v>
      </c>
      <c r="AE3" t="s">
        <v>30</v>
      </c>
      <c r="AF3" t="s">
        <v>31</v>
      </c>
      <c r="AG3" t="s">
        <v>32</v>
      </c>
      <c r="AH3" t="s">
        <v>33</v>
      </c>
      <c r="AI3" t="s">
        <v>34</v>
      </c>
      <c r="AJ3" t="s">
        <v>35</v>
      </c>
      <c r="AK3" t="s">
        <v>36</v>
      </c>
      <c r="AL3" t="s">
        <v>37</v>
      </c>
      <c r="AM3" t="s">
        <v>38</v>
      </c>
      <c r="AN3" t="s">
        <v>39</v>
      </c>
      <c r="AO3" t="s">
        <v>40</v>
      </c>
      <c r="AP3" t="s">
        <v>41</v>
      </c>
      <c r="AQ3" t="s">
        <v>42</v>
      </c>
      <c r="AR3" t="s">
        <v>43</v>
      </c>
      <c r="AS3" t="s">
        <v>44</v>
      </c>
      <c r="AT3" t="s">
        <v>45</v>
      </c>
      <c r="AU3" t="s">
        <v>46</v>
      </c>
      <c r="AV3" t="s">
        <v>47</v>
      </c>
      <c r="AW3" t="s">
        <v>48</v>
      </c>
      <c r="AX3" t="s">
        <v>49</v>
      </c>
      <c r="AY3" t="s">
        <v>50</v>
      </c>
      <c r="AZ3" t="s">
        <v>51</v>
      </c>
      <c r="BA3" t="s">
        <v>52</v>
      </c>
      <c r="BB3" t="s">
        <v>53</v>
      </c>
      <c r="BC3" t="s">
        <v>54</v>
      </c>
      <c r="BD3" t="s">
        <v>55</v>
      </c>
      <c r="BE3" t="s">
        <v>56</v>
      </c>
      <c r="BF3" t="s">
        <v>57</v>
      </c>
      <c r="BG3" t="s">
        <v>58</v>
      </c>
      <c r="BH3" t="s">
        <v>59</v>
      </c>
      <c r="BI3" t="s">
        <v>60</v>
      </c>
      <c r="BJ3" t="s">
        <v>61</v>
      </c>
      <c r="BK3" t="s">
        <v>62</v>
      </c>
      <c r="BL3" t="s">
        <v>63</v>
      </c>
      <c r="BM3" t="s">
        <v>64</v>
      </c>
      <c r="BN3" t="s">
        <v>65</v>
      </c>
      <c r="BO3" t="s">
        <v>66</v>
      </c>
      <c r="BP3" t="s">
        <v>114</v>
      </c>
    </row>
    <row r="4" spans="1:68" x14ac:dyDescent="0.25">
      <c r="A4" t="s">
        <v>67</v>
      </c>
      <c r="B4" t="s">
        <v>68</v>
      </c>
      <c r="C4" t="s">
        <v>69</v>
      </c>
      <c r="D4" t="s">
        <v>70</v>
      </c>
      <c r="E4" t="s">
        <v>71</v>
      </c>
      <c r="F4" t="s">
        <v>72</v>
      </c>
      <c r="G4">
        <v>30</v>
      </c>
      <c r="H4">
        <v>0</v>
      </c>
      <c r="I4">
        <v>0</v>
      </c>
      <c r="J4">
        <v>0</v>
      </c>
      <c r="K4">
        <v>0</v>
      </c>
      <c r="N4">
        <v>493000</v>
      </c>
      <c r="O4">
        <v>0</v>
      </c>
      <c r="P4">
        <v>0</v>
      </c>
      <c r="Q4">
        <v>123250</v>
      </c>
      <c r="R4">
        <v>0</v>
      </c>
      <c r="S4">
        <v>431784</v>
      </c>
      <c r="T4">
        <v>0</v>
      </c>
      <c r="U4">
        <v>0</v>
      </c>
      <c r="V4">
        <v>1048034</v>
      </c>
      <c r="W4">
        <v>50000</v>
      </c>
      <c r="X4">
        <v>50000</v>
      </c>
      <c r="Y4">
        <v>0</v>
      </c>
      <c r="Z4">
        <v>0</v>
      </c>
      <c r="AA4">
        <v>100000</v>
      </c>
      <c r="AB4">
        <v>1148034</v>
      </c>
      <c r="AC4">
        <v>1048034</v>
      </c>
      <c r="AD4">
        <v>856349</v>
      </c>
      <c r="AE4">
        <v>112035</v>
      </c>
      <c r="AF4">
        <v>10.69</v>
      </c>
      <c r="AJ4">
        <v>0</v>
      </c>
      <c r="AK4">
        <v>0</v>
      </c>
      <c r="AL4">
        <v>73362</v>
      </c>
      <c r="AM4">
        <v>0</v>
      </c>
      <c r="AN4">
        <v>0</v>
      </c>
      <c r="AO4">
        <v>73362</v>
      </c>
      <c r="AP4">
        <v>6288</v>
      </c>
      <c r="AQ4">
        <v>191685</v>
      </c>
      <c r="AR4">
        <v>127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0</v>
      </c>
      <c r="BI4">
        <v>0</v>
      </c>
      <c r="BJ4">
        <v>191812</v>
      </c>
      <c r="BK4">
        <v>956222</v>
      </c>
      <c r="BL4">
        <v>25153</v>
      </c>
      <c r="BM4">
        <v>19703</v>
      </c>
      <c r="BN4">
        <v>36472</v>
      </c>
      <c r="BO4">
        <v>0</v>
      </c>
      <c r="BP4">
        <f>SUM(BL4:BN4,AB4)</f>
        <v>1229362</v>
      </c>
    </row>
    <row r="5" spans="1:68" x14ac:dyDescent="0.25">
      <c r="A5" t="s">
        <v>73</v>
      </c>
      <c r="B5" t="s">
        <v>74</v>
      </c>
      <c r="C5" t="s">
        <v>75</v>
      </c>
      <c r="D5" t="s">
        <v>76</v>
      </c>
      <c r="E5" t="s">
        <v>71</v>
      </c>
      <c r="F5" t="s">
        <v>77</v>
      </c>
      <c r="G5">
        <v>30</v>
      </c>
      <c r="H5">
        <v>0</v>
      </c>
      <c r="I5">
        <v>0</v>
      </c>
      <c r="J5">
        <v>0</v>
      </c>
      <c r="K5">
        <v>0</v>
      </c>
      <c r="N5">
        <v>495025</v>
      </c>
      <c r="O5">
        <v>0</v>
      </c>
      <c r="P5">
        <v>0</v>
      </c>
      <c r="Q5">
        <v>123756</v>
      </c>
      <c r="R5">
        <v>0</v>
      </c>
      <c r="S5">
        <v>353211</v>
      </c>
      <c r="T5">
        <v>0</v>
      </c>
      <c r="U5">
        <v>0</v>
      </c>
      <c r="V5">
        <v>971992</v>
      </c>
      <c r="W5">
        <v>20000</v>
      </c>
      <c r="X5">
        <v>20000</v>
      </c>
      <c r="Y5">
        <v>0</v>
      </c>
      <c r="Z5">
        <v>0</v>
      </c>
      <c r="AA5">
        <v>40000</v>
      </c>
      <c r="AB5">
        <v>1011992</v>
      </c>
      <c r="AC5">
        <v>971992</v>
      </c>
      <c r="AD5">
        <v>795284</v>
      </c>
      <c r="AE5">
        <v>102837</v>
      </c>
      <c r="AF5">
        <v>10.58</v>
      </c>
      <c r="AJ5">
        <v>0</v>
      </c>
      <c r="AK5">
        <v>0</v>
      </c>
      <c r="AL5">
        <v>68039</v>
      </c>
      <c r="AM5">
        <v>0</v>
      </c>
      <c r="AN5">
        <v>0</v>
      </c>
      <c r="AO5">
        <v>68039</v>
      </c>
      <c r="AP5">
        <v>5832</v>
      </c>
      <c r="AQ5">
        <v>176708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0</v>
      </c>
      <c r="BD5">
        <v>0</v>
      </c>
      <c r="BE5">
        <v>0</v>
      </c>
      <c r="BF5">
        <v>0</v>
      </c>
      <c r="BG5">
        <v>0</v>
      </c>
      <c r="BH5">
        <v>0</v>
      </c>
      <c r="BI5">
        <v>0</v>
      </c>
      <c r="BJ5">
        <v>176708</v>
      </c>
      <c r="BK5">
        <v>835284</v>
      </c>
      <c r="BL5">
        <v>23328</v>
      </c>
      <c r="BM5">
        <v>18273</v>
      </c>
      <c r="BN5">
        <v>33825</v>
      </c>
      <c r="BO5">
        <v>0</v>
      </c>
      <c r="BP5">
        <f t="shared" ref="BP5:BP12" si="0">SUM(BL5:BN5,AB5)</f>
        <v>1087418</v>
      </c>
    </row>
    <row r="6" spans="1:68" x14ac:dyDescent="0.25">
      <c r="A6" t="s">
        <v>78</v>
      </c>
      <c r="B6" t="s">
        <v>79</v>
      </c>
      <c r="C6" t="s">
        <v>80</v>
      </c>
      <c r="D6" t="s">
        <v>80</v>
      </c>
      <c r="E6" t="s">
        <v>71</v>
      </c>
      <c r="F6" t="s">
        <v>81</v>
      </c>
      <c r="G6">
        <v>30</v>
      </c>
      <c r="H6">
        <v>0</v>
      </c>
      <c r="I6">
        <v>0</v>
      </c>
      <c r="J6">
        <v>0</v>
      </c>
      <c r="K6">
        <v>0</v>
      </c>
      <c r="N6">
        <v>600000</v>
      </c>
      <c r="O6">
        <v>0</v>
      </c>
      <c r="P6">
        <v>0</v>
      </c>
      <c r="Q6">
        <v>150000</v>
      </c>
      <c r="R6">
        <v>0</v>
      </c>
      <c r="S6">
        <v>342357</v>
      </c>
      <c r="T6">
        <v>0</v>
      </c>
      <c r="U6">
        <v>0</v>
      </c>
      <c r="V6">
        <v>1092357</v>
      </c>
      <c r="W6">
        <v>10000</v>
      </c>
      <c r="X6">
        <v>10000</v>
      </c>
      <c r="Y6">
        <v>0</v>
      </c>
      <c r="Z6">
        <v>0</v>
      </c>
      <c r="AA6">
        <v>20000</v>
      </c>
      <c r="AB6">
        <v>1112357</v>
      </c>
      <c r="AC6">
        <v>1092357</v>
      </c>
      <c r="AD6">
        <v>887431</v>
      </c>
      <c r="AE6">
        <v>121907</v>
      </c>
      <c r="AF6">
        <v>11.16</v>
      </c>
      <c r="AJ6">
        <v>0</v>
      </c>
      <c r="AK6">
        <v>0</v>
      </c>
      <c r="AL6">
        <v>76465</v>
      </c>
      <c r="AM6">
        <v>0</v>
      </c>
      <c r="AN6">
        <v>0</v>
      </c>
      <c r="AO6">
        <v>76465</v>
      </c>
      <c r="AP6">
        <v>6554</v>
      </c>
      <c r="AQ6">
        <v>204926</v>
      </c>
      <c r="AR6">
        <v>1370</v>
      </c>
      <c r="AS6">
        <v>0</v>
      </c>
      <c r="AT6">
        <v>0</v>
      </c>
      <c r="AU6">
        <v>0</v>
      </c>
      <c r="AV6">
        <v>0</v>
      </c>
      <c r="AW6">
        <v>0</v>
      </c>
      <c r="AX6">
        <v>0</v>
      </c>
      <c r="AY6">
        <v>0</v>
      </c>
      <c r="AZ6">
        <v>0</v>
      </c>
      <c r="BA6">
        <v>0</v>
      </c>
      <c r="BB6">
        <v>0</v>
      </c>
      <c r="BC6">
        <v>0</v>
      </c>
      <c r="BD6">
        <v>0</v>
      </c>
      <c r="BE6">
        <v>0</v>
      </c>
      <c r="BF6">
        <v>0</v>
      </c>
      <c r="BG6">
        <v>0</v>
      </c>
      <c r="BH6">
        <v>0</v>
      </c>
      <c r="BI6">
        <v>0</v>
      </c>
      <c r="BJ6">
        <v>206296</v>
      </c>
      <c r="BK6">
        <v>906061</v>
      </c>
      <c r="BL6">
        <v>26217</v>
      </c>
      <c r="BM6">
        <v>20536</v>
      </c>
      <c r="BN6">
        <v>38014</v>
      </c>
      <c r="BO6">
        <v>0</v>
      </c>
      <c r="BP6">
        <f t="shared" si="0"/>
        <v>1197124</v>
      </c>
    </row>
    <row r="7" spans="1:68" x14ac:dyDescent="0.25">
      <c r="A7" t="s">
        <v>82</v>
      </c>
      <c r="B7" t="s">
        <v>83</v>
      </c>
      <c r="C7" t="s">
        <v>84</v>
      </c>
      <c r="D7" t="s">
        <v>85</v>
      </c>
      <c r="E7" t="s">
        <v>71</v>
      </c>
      <c r="F7" t="s">
        <v>72</v>
      </c>
      <c r="G7">
        <v>30</v>
      </c>
      <c r="H7">
        <v>0</v>
      </c>
      <c r="I7">
        <v>0</v>
      </c>
      <c r="J7">
        <v>0</v>
      </c>
      <c r="K7">
        <v>0</v>
      </c>
      <c r="N7">
        <v>450000</v>
      </c>
      <c r="O7">
        <v>0</v>
      </c>
      <c r="P7">
        <v>0</v>
      </c>
      <c r="Q7">
        <v>112500</v>
      </c>
      <c r="R7">
        <v>0</v>
      </c>
      <c r="S7">
        <v>542919</v>
      </c>
      <c r="T7">
        <v>0</v>
      </c>
      <c r="U7">
        <v>0</v>
      </c>
      <c r="V7">
        <v>1105419</v>
      </c>
      <c r="W7">
        <v>75000</v>
      </c>
      <c r="X7">
        <v>75000</v>
      </c>
      <c r="Y7">
        <v>0</v>
      </c>
      <c r="Z7">
        <v>0</v>
      </c>
      <c r="AA7">
        <v>150000</v>
      </c>
      <c r="AB7">
        <v>1255419</v>
      </c>
      <c r="AC7">
        <v>1105419</v>
      </c>
      <c r="AD7">
        <v>896826</v>
      </c>
      <c r="AE7">
        <v>124581</v>
      </c>
      <c r="AF7">
        <v>11.27</v>
      </c>
      <c r="AJ7">
        <v>0</v>
      </c>
      <c r="AK7">
        <v>0</v>
      </c>
      <c r="AL7">
        <v>77379</v>
      </c>
      <c r="AM7">
        <v>0</v>
      </c>
      <c r="AN7">
        <v>0</v>
      </c>
      <c r="AO7">
        <v>77379</v>
      </c>
      <c r="AP7">
        <v>6633</v>
      </c>
      <c r="AQ7">
        <v>208593</v>
      </c>
      <c r="AR7">
        <v>1746</v>
      </c>
      <c r="AS7">
        <v>0</v>
      </c>
      <c r="AT7">
        <v>0</v>
      </c>
      <c r="AU7">
        <v>0</v>
      </c>
      <c r="AV7">
        <v>0</v>
      </c>
      <c r="AW7">
        <v>0</v>
      </c>
      <c r="AX7">
        <v>0</v>
      </c>
      <c r="AY7">
        <v>0</v>
      </c>
      <c r="AZ7">
        <v>0</v>
      </c>
      <c r="BA7">
        <v>0</v>
      </c>
      <c r="BB7">
        <v>0</v>
      </c>
      <c r="BC7">
        <v>0</v>
      </c>
      <c r="BD7">
        <v>0</v>
      </c>
      <c r="BE7">
        <v>0</v>
      </c>
      <c r="BF7">
        <v>0</v>
      </c>
      <c r="BG7">
        <v>0</v>
      </c>
      <c r="BH7">
        <v>0</v>
      </c>
      <c r="BI7">
        <v>0</v>
      </c>
      <c r="BJ7">
        <v>210339</v>
      </c>
      <c r="BK7">
        <v>1045080</v>
      </c>
      <c r="BL7">
        <v>26530</v>
      </c>
      <c r="BM7">
        <v>20782</v>
      </c>
      <c r="BN7">
        <v>38469</v>
      </c>
      <c r="BO7">
        <v>0</v>
      </c>
      <c r="BP7">
        <f t="shared" si="0"/>
        <v>1341200</v>
      </c>
    </row>
    <row r="8" spans="1:68" x14ac:dyDescent="0.25">
      <c r="A8" t="s">
        <v>86</v>
      </c>
      <c r="B8" t="s">
        <v>87</v>
      </c>
      <c r="C8" t="s">
        <v>88</v>
      </c>
      <c r="D8" t="s">
        <v>89</v>
      </c>
      <c r="E8" t="s">
        <v>71</v>
      </c>
      <c r="F8" t="s">
        <v>77</v>
      </c>
      <c r="G8">
        <v>30</v>
      </c>
      <c r="H8">
        <v>0</v>
      </c>
      <c r="I8">
        <v>0</v>
      </c>
      <c r="J8">
        <v>0</v>
      </c>
      <c r="K8">
        <v>0</v>
      </c>
      <c r="N8">
        <v>624500</v>
      </c>
      <c r="O8">
        <v>0</v>
      </c>
      <c r="P8">
        <v>0</v>
      </c>
      <c r="Q8">
        <v>156125</v>
      </c>
      <c r="R8">
        <v>0</v>
      </c>
      <c r="S8">
        <v>584919</v>
      </c>
      <c r="T8">
        <v>0</v>
      </c>
      <c r="U8">
        <v>0</v>
      </c>
      <c r="V8">
        <v>1365544</v>
      </c>
      <c r="W8">
        <v>10000</v>
      </c>
      <c r="X8">
        <v>10000</v>
      </c>
      <c r="Y8">
        <v>0</v>
      </c>
      <c r="Z8">
        <v>0</v>
      </c>
      <c r="AA8">
        <v>20000</v>
      </c>
      <c r="AB8">
        <v>1385544</v>
      </c>
      <c r="AC8">
        <v>1365544</v>
      </c>
      <c r="AD8">
        <v>1045050</v>
      </c>
      <c r="AE8">
        <v>156218</v>
      </c>
      <c r="AF8">
        <v>11.44</v>
      </c>
      <c r="AJ8">
        <v>0</v>
      </c>
      <c r="AK8">
        <v>0</v>
      </c>
      <c r="AL8">
        <v>0</v>
      </c>
      <c r="AM8">
        <v>95588</v>
      </c>
      <c r="AN8">
        <v>60495</v>
      </c>
      <c r="AO8">
        <v>156083</v>
      </c>
      <c r="AP8">
        <v>8193</v>
      </c>
      <c r="AQ8">
        <v>320494</v>
      </c>
      <c r="AR8">
        <v>7675</v>
      </c>
      <c r="AS8">
        <v>0</v>
      </c>
      <c r="AT8">
        <v>0</v>
      </c>
      <c r="AU8">
        <v>0</v>
      </c>
      <c r="AV8">
        <v>0</v>
      </c>
      <c r="AW8">
        <v>0</v>
      </c>
      <c r="AX8">
        <v>0</v>
      </c>
      <c r="AY8">
        <v>0</v>
      </c>
      <c r="AZ8">
        <v>0</v>
      </c>
      <c r="BA8">
        <v>0</v>
      </c>
      <c r="BB8">
        <v>0</v>
      </c>
      <c r="BC8">
        <v>0</v>
      </c>
      <c r="BD8">
        <v>0</v>
      </c>
      <c r="BE8">
        <v>0</v>
      </c>
      <c r="BF8">
        <v>0</v>
      </c>
      <c r="BG8">
        <v>0</v>
      </c>
      <c r="BH8">
        <v>0</v>
      </c>
      <c r="BI8">
        <v>0</v>
      </c>
      <c r="BJ8">
        <v>328169</v>
      </c>
      <c r="BK8">
        <v>1057375</v>
      </c>
      <c r="BL8">
        <v>32773</v>
      </c>
      <c r="BM8">
        <v>25672</v>
      </c>
      <c r="BN8">
        <v>47521</v>
      </c>
      <c r="BO8">
        <v>0</v>
      </c>
      <c r="BP8">
        <f t="shared" si="0"/>
        <v>1491510</v>
      </c>
    </row>
    <row r="9" spans="1:68" x14ac:dyDescent="0.25">
      <c r="A9" t="s">
        <v>90</v>
      </c>
      <c r="B9" t="s">
        <v>91</v>
      </c>
      <c r="C9" t="s">
        <v>92</v>
      </c>
      <c r="D9" t="s">
        <v>93</v>
      </c>
      <c r="E9" t="s">
        <v>71</v>
      </c>
      <c r="F9" t="s">
        <v>94</v>
      </c>
      <c r="G9">
        <v>30</v>
      </c>
      <c r="H9">
        <v>0</v>
      </c>
      <c r="I9">
        <v>0</v>
      </c>
      <c r="J9">
        <v>0</v>
      </c>
      <c r="K9">
        <v>0</v>
      </c>
      <c r="N9">
        <v>1175000</v>
      </c>
      <c r="O9">
        <v>0</v>
      </c>
      <c r="P9">
        <v>0</v>
      </c>
      <c r="Q9">
        <v>174167</v>
      </c>
      <c r="R9">
        <v>0</v>
      </c>
      <c r="S9">
        <v>1163952</v>
      </c>
      <c r="T9">
        <v>0</v>
      </c>
      <c r="U9">
        <v>0</v>
      </c>
      <c r="V9">
        <v>2513119</v>
      </c>
      <c r="W9">
        <v>124000</v>
      </c>
      <c r="X9">
        <v>100000</v>
      </c>
      <c r="Y9">
        <v>0</v>
      </c>
      <c r="Z9">
        <v>0</v>
      </c>
      <c r="AA9">
        <v>224000</v>
      </c>
      <c r="AB9">
        <v>2737119</v>
      </c>
      <c r="AC9">
        <v>2513119</v>
      </c>
      <c r="AD9">
        <v>2034370</v>
      </c>
      <c r="AE9">
        <v>287752</v>
      </c>
      <c r="AF9">
        <v>11.45</v>
      </c>
      <c r="AJ9">
        <v>0</v>
      </c>
      <c r="AK9">
        <v>0</v>
      </c>
      <c r="AL9">
        <v>175918</v>
      </c>
      <c r="AM9">
        <v>0</v>
      </c>
      <c r="AN9">
        <v>0</v>
      </c>
      <c r="AO9">
        <v>175918</v>
      </c>
      <c r="AP9">
        <v>15079</v>
      </c>
      <c r="AQ9">
        <v>478749</v>
      </c>
      <c r="AR9">
        <v>52783</v>
      </c>
      <c r="AS9">
        <v>0</v>
      </c>
      <c r="AT9">
        <v>0</v>
      </c>
      <c r="AU9">
        <v>0</v>
      </c>
      <c r="AV9">
        <v>0</v>
      </c>
      <c r="AW9">
        <v>0</v>
      </c>
      <c r="AX9">
        <v>0</v>
      </c>
      <c r="AY9">
        <v>0</v>
      </c>
      <c r="AZ9">
        <v>0</v>
      </c>
      <c r="BA9">
        <v>0</v>
      </c>
      <c r="BB9">
        <v>0</v>
      </c>
      <c r="BC9">
        <v>0</v>
      </c>
      <c r="BD9">
        <v>0</v>
      </c>
      <c r="BE9">
        <v>0</v>
      </c>
      <c r="BF9">
        <v>0</v>
      </c>
      <c r="BG9">
        <v>0</v>
      </c>
      <c r="BH9">
        <v>0</v>
      </c>
      <c r="BI9">
        <v>0</v>
      </c>
      <c r="BJ9">
        <v>531532</v>
      </c>
      <c r="BK9">
        <v>2205587</v>
      </c>
      <c r="BL9">
        <v>60315</v>
      </c>
      <c r="BM9">
        <v>47247</v>
      </c>
      <c r="BN9">
        <v>87457</v>
      </c>
      <c r="BO9">
        <v>0</v>
      </c>
      <c r="BP9">
        <f t="shared" si="0"/>
        <v>2932138</v>
      </c>
    </row>
    <row r="10" spans="1:68" x14ac:dyDescent="0.25">
      <c r="A10" t="s">
        <v>95</v>
      </c>
      <c r="B10" t="s">
        <v>96</v>
      </c>
      <c r="C10" t="s">
        <v>97</v>
      </c>
      <c r="D10" t="s">
        <v>98</v>
      </c>
      <c r="E10" t="s">
        <v>71</v>
      </c>
      <c r="F10" t="s">
        <v>72</v>
      </c>
      <c r="G10">
        <v>30</v>
      </c>
      <c r="H10">
        <v>0</v>
      </c>
      <c r="I10">
        <v>0</v>
      </c>
      <c r="J10">
        <v>0</v>
      </c>
      <c r="K10">
        <v>0</v>
      </c>
      <c r="N10">
        <v>490436</v>
      </c>
      <c r="O10">
        <v>0</v>
      </c>
      <c r="P10">
        <v>0</v>
      </c>
      <c r="Q10">
        <v>122609</v>
      </c>
      <c r="R10">
        <v>0</v>
      </c>
      <c r="S10">
        <v>263202</v>
      </c>
      <c r="T10">
        <v>0</v>
      </c>
      <c r="U10">
        <v>0</v>
      </c>
      <c r="V10">
        <v>876247</v>
      </c>
      <c r="W10">
        <v>50000</v>
      </c>
      <c r="X10">
        <v>50000</v>
      </c>
      <c r="Y10">
        <v>0</v>
      </c>
      <c r="Z10">
        <v>0</v>
      </c>
      <c r="AA10">
        <v>100000</v>
      </c>
      <c r="AB10">
        <v>976247</v>
      </c>
      <c r="AC10">
        <v>876247</v>
      </c>
      <c r="AD10">
        <v>709410</v>
      </c>
      <c r="AE10">
        <v>100243</v>
      </c>
      <c r="AF10">
        <v>11.44</v>
      </c>
      <c r="AJ10">
        <v>0</v>
      </c>
      <c r="AK10">
        <v>0</v>
      </c>
      <c r="AL10">
        <v>61337</v>
      </c>
      <c r="AM10">
        <v>0</v>
      </c>
      <c r="AN10">
        <v>0</v>
      </c>
      <c r="AO10">
        <v>61337</v>
      </c>
      <c r="AP10">
        <v>5257</v>
      </c>
      <c r="AQ10">
        <v>166837</v>
      </c>
      <c r="AR10">
        <v>0</v>
      </c>
      <c r="AS10">
        <v>0</v>
      </c>
      <c r="AT10">
        <v>0</v>
      </c>
      <c r="AU10">
        <v>0</v>
      </c>
      <c r="AV10">
        <v>0</v>
      </c>
      <c r="AW10">
        <v>0</v>
      </c>
      <c r="AX10">
        <v>0</v>
      </c>
      <c r="AY10">
        <v>0</v>
      </c>
      <c r="AZ10">
        <v>0</v>
      </c>
      <c r="BA10">
        <v>0</v>
      </c>
      <c r="BB10">
        <v>0</v>
      </c>
      <c r="BC10">
        <v>0</v>
      </c>
      <c r="BD10">
        <v>0</v>
      </c>
      <c r="BE10">
        <v>0</v>
      </c>
      <c r="BF10">
        <v>0</v>
      </c>
      <c r="BG10">
        <v>0</v>
      </c>
      <c r="BH10">
        <v>0</v>
      </c>
      <c r="BI10">
        <v>0</v>
      </c>
      <c r="BJ10">
        <v>166837</v>
      </c>
      <c r="BK10">
        <v>809410</v>
      </c>
      <c r="BL10">
        <v>21030</v>
      </c>
      <c r="BM10">
        <v>16473</v>
      </c>
      <c r="BN10">
        <v>30493</v>
      </c>
      <c r="BO10">
        <v>0</v>
      </c>
      <c r="BP10">
        <f t="shared" si="0"/>
        <v>1044243</v>
      </c>
    </row>
    <row r="11" spans="1:68" x14ac:dyDescent="0.25">
      <c r="A11" t="s">
        <v>99</v>
      </c>
      <c r="B11" t="s">
        <v>100</v>
      </c>
      <c r="C11" t="s">
        <v>101</v>
      </c>
      <c r="D11" t="s">
        <v>102</v>
      </c>
      <c r="E11" t="s">
        <v>71</v>
      </c>
      <c r="F11" t="s">
        <v>72</v>
      </c>
      <c r="G11">
        <v>29</v>
      </c>
      <c r="H11">
        <v>0</v>
      </c>
      <c r="I11">
        <v>1</v>
      </c>
      <c r="J11">
        <v>3</v>
      </c>
      <c r="K11">
        <v>0</v>
      </c>
      <c r="N11">
        <v>476567</v>
      </c>
      <c r="O11">
        <v>0</v>
      </c>
      <c r="P11">
        <v>0</v>
      </c>
      <c r="Q11">
        <v>119142</v>
      </c>
      <c r="R11">
        <v>0</v>
      </c>
      <c r="S11">
        <v>424784</v>
      </c>
      <c r="T11">
        <v>0</v>
      </c>
      <c r="U11">
        <v>0</v>
      </c>
      <c r="V11">
        <v>1020493</v>
      </c>
      <c r="W11">
        <v>48333</v>
      </c>
      <c r="X11">
        <v>48333</v>
      </c>
      <c r="Y11">
        <v>0</v>
      </c>
      <c r="Z11">
        <v>0</v>
      </c>
      <c r="AA11">
        <v>96666</v>
      </c>
      <c r="AB11">
        <v>1117159</v>
      </c>
      <c r="AC11">
        <v>1020493</v>
      </c>
      <c r="AD11">
        <v>827925</v>
      </c>
      <c r="AE11">
        <v>115010</v>
      </c>
      <c r="AF11">
        <v>11.27</v>
      </c>
      <c r="AJ11">
        <v>0</v>
      </c>
      <c r="AK11">
        <v>0</v>
      </c>
      <c r="AL11">
        <v>71435</v>
      </c>
      <c r="AM11">
        <v>0</v>
      </c>
      <c r="AN11">
        <v>0</v>
      </c>
      <c r="AO11">
        <v>71435</v>
      </c>
      <c r="AP11">
        <v>6123</v>
      </c>
      <c r="AQ11">
        <v>192568</v>
      </c>
      <c r="AR11">
        <v>0</v>
      </c>
      <c r="AS11">
        <v>0</v>
      </c>
      <c r="AT11">
        <v>0</v>
      </c>
      <c r="AU11">
        <v>0</v>
      </c>
      <c r="AV11">
        <v>0</v>
      </c>
      <c r="AW11">
        <v>0</v>
      </c>
      <c r="AX11">
        <v>0</v>
      </c>
      <c r="AY11">
        <v>0</v>
      </c>
      <c r="AZ11">
        <v>0</v>
      </c>
      <c r="BA11">
        <v>0</v>
      </c>
      <c r="BB11">
        <v>0</v>
      </c>
      <c r="BC11">
        <v>0</v>
      </c>
      <c r="BD11">
        <v>0</v>
      </c>
      <c r="BE11">
        <v>0</v>
      </c>
      <c r="BF11">
        <v>0</v>
      </c>
      <c r="BG11">
        <v>0</v>
      </c>
      <c r="BH11">
        <v>0</v>
      </c>
      <c r="BI11">
        <v>0</v>
      </c>
      <c r="BJ11">
        <v>192568</v>
      </c>
      <c r="BK11">
        <v>924591</v>
      </c>
      <c r="BL11">
        <v>24492</v>
      </c>
      <c r="BM11">
        <v>19185</v>
      </c>
      <c r="BN11">
        <v>35513</v>
      </c>
      <c r="BO11">
        <v>0</v>
      </c>
      <c r="BP11">
        <f t="shared" si="0"/>
        <v>1196349</v>
      </c>
    </row>
    <row r="12" spans="1:68" x14ac:dyDescent="0.25">
      <c r="A12" t="s">
        <v>103</v>
      </c>
      <c r="B12" t="s">
        <v>104</v>
      </c>
      <c r="C12" t="s">
        <v>105</v>
      </c>
      <c r="D12" t="s">
        <v>106</v>
      </c>
      <c r="E12" t="s">
        <v>71</v>
      </c>
      <c r="F12" t="s">
        <v>72</v>
      </c>
      <c r="G12">
        <v>30</v>
      </c>
      <c r="H12">
        <v>0</v>
      </c>
      <c r="I12">
        <v>0</v>
      </c>
      <c r="J12">
        <v>0</v>
      </c>
      <c r="K12">
        <v>0</v>
      </c>
      <c r="N12">
        <v>488758</v>
      </c>
      <c r="O12">
        <v>0</v>
      </c>
      <c r="P12">
        <v>0</v>
      </c>
      <c r="Q12">
        <v>122190</v>
      </c>
      <c r="R12">
        <v>0</v>
      </c>
      <c r="S12">
        <v>455628</v>
      </c>
      <c r="T12">
        <v>0</v>
      </c>
      <c r="U12">
        <v>0</v>
      </c>
      <c r="V12">
        <v>1066576</v>
      </c>
      <c r="W12">
        <v>50000</v>
      </c>
      <c r="X12">
        <v>50000</v>
      </c>
      <c r="Y12">
        <v>0</v>
      </c>
      <c r="Z12">
        <v>0</v>
      </c>
      <c r="AA12">
        <v>100000</v>
      </c>
      <c r="AB12">
        <v>1166576</v>
      </c>
      <c r="AC12">
        <v>1066576</v>
      </c>
      <c r="AD12">
        <v>866487</v>
      </c>
      <c r="AE12">
        <v>119030</v>
      </c>
      <c r="AF12">
        <v>11.16</v>
      </c>
      <c r="AJ12">
        <v>0</v>
      </c>
      <c r="AK12">
        <v>0</v>
      </c>
      <c r="AL12">
        <v>74660</v>
      </c>
      <c r="AM12">
        <v>0</v>
      </c>
      <c r="AN12">
        <v>0</v>
      </c>
      <c r="AO12">
        <v>74660</v>
      </c>
      <c r="AP12">
        <v>6399</v>
      </c>
      <c r="AQ12">
        <v>200089</v>
      </c>
      <c r="AR12">
        <v>532</v>
      </c>
      <c r="AS12">
        <v>0</v>
      </c>
      <c r="AT12">
        <v>0</v>
      </c>
      <c r="AU12">
        <v>0</v>
      </c>
      <c r="AV12">
        <v>0</v>
      </c>
      <c r="AW12">
        <v>0</v>
      </c>
      <c r="AX12">
        <v>0</v>
      </c>
      <c r="AY12">
        <v>0</v>
      </c>
      <c r="AZ12">
        <v>0</v>
      </c>
      <c r="BA12">
        <v>0</v>
      </c>
      <c r="BB12">
        <v>0</v>
      </c>
      <c r="BC12">
        <v>0</v>
      </c>
      <c r="BD12">
        <v>0</v>
      </c>
      <c r="BE12">
        <v>0</v>
      </c>
      <c r="BF12">
        <v>0</v>
      </c>
      <c r="BG12">
        <v>0</v>
      </c>
      <c r="BH12">
        <v>0</v>
      </c>
      <c r="BI12">
        <v>0</v>
      </c>
      <c r="BJ12">
        <v>200621</v>
      </c>
      <c r="BK12">
        <v>965955</v>
      </c>
      <c r="BL12">
        <v>25598</v>
      </c>
      <c r="BM12">
        <v>20052</v>
      </c>
      <c r="BN12">
        <v>37117</v>
      </c>
      <c r="BO12">
        <v>0</v>
      </c>
      <c r="BP12">
        <f t="shared" si="0"/>
        <v>1249343</v>
      </c>
    </row>
    <row r="13" spans="1:68" x14ac:dyDescent="0.25">
      <c r="A13" t="s">
        <v>107</v>
      </c>
      <c r="B13" t="s">
        <v>115</v>
      </c>
      <c r="F13">
        <f>SUBTOTAL(109,LIBRO[Cargo])</f>
        <v>0</v>
      </c>
      <c r="G13">
        <f>SUBTOTAL(109,LIBRO[Dias Trabajados])</f>
        <v>269</v>
      </c>
      <c r="H13">
        <f>SUBTOTAL(109,LIBRO[Dias Licencia])</f>
        <v>0</v>
      </c>
      <c r="I13">
        <f>SUBTOTAL(109,LIBRO[Dias Ausencia])</f>
        <v>1</v>
      </c>
      <c r="J13">
        <f>SUBTOTAL(109,LIBRO[Dias Vacaciones])</f>
        <v>3</v>
      </c>
      <c r="K13">
        <f>SUBTOTAL(109,LIBRO[Dias de Suspension])</f>
        <v>0</v>
      </c>
      <c r="L13">
        <f>SUBTOTAL(109,LIBRO[Sueldo de Suspension])</f>
        <v>0</v>
      </c>
      <c r="M13">
        <f>SUBTOTAL(109,LIBRO[Sueldo AFC de Suspension])</f>
        <v>0</v>
      </c>
      <c r="N13">
        <f>SUBTOTAL(109,LIBRO[Sueldo Base Proporcional])</f>
        <v>5293286</v>
      </c>
      <c r="O13">
        <f>SUBTOTAL(109,LIBRO[Cant Hrs Atraso])</f>
        <v>0</v>
      </c>
      <c r="P13">
        <f>SUBTOTAL(109,LIBRO[Monto Por Atraso])</f>
        <v>0</v>
      </c>
      <c r="Q13">
        <f>SUBTOTAL(109,LIBRO[Gratificacion])</f>
        <v>1203739</v>
      </c>
      <c r="R13">
        <f>SUBTOTAL(109,LIBRO[Hora Extra])</f>
        <v>0</v>
      </c>
      <c r="S13">
        <f>SUBTOTAL(109,LIBRO[Bonos Imponibles])</f>
        <v>4562756</v>
      </c>
      <c r="T13">
        <f>SUBTOTAL(109,LIBRO[Total Comisiones])</f>
        <v>0</v>
      </c>
      <c r="U13">
        <f>SUBTOTAL(109,LIBRO[Semana Corrida])</f>
        <v>0</v>
      </c>
      <c r="V13">
        <f>SUBTOTAL(109,LIBRO[Total Haberes Imponibles])</f>
        <v>11059781</v>
      </c>
      <c r="W13">
        <f>SUBTOTAL(109,LIBRO[Movilizacion])</f>
        <v>437333</v>
      </c>
      <c r="X13">
        <f>SUBTOTAL(109,LIBRO[Colacion])</f>
        <v>413333</v>
      </c>
      <c r="Y13">
        <f>SUBTOTAL(109,LIBRO[Cargas Familiares])</f>
        <v>0</v>
      </c>
      <c r="Z13">
        <f>SUBTOTAL(109,LIBRO[Bonos No Imponibles])</f>
        <v>0</v>
      </c>
      <c r="AA13">
        <f>SUBTOTAL(109,LIBRO[Total Haberes No Imponibles])</f>
        <v>850666</v>
      </c>
      <c r="AB13" s="1">
        <f>SUBTOTAL(109,LIBRO[Total Haberes])</f>
        <v>11910447</v>
      </c>
      <c r="AC13">
        <f>SUBTOTAL(109,LIBRO[Base Imponible])</f>
        <v>11059781</v>
      </c>
      <c r="AD13">
        <f>SUBTOTAL(109,LIBRO[Base Tributable])</f>
        <v>8919132</v>
      </c>
      <c r="AE13">
        <f>SUBTOTAL(109,LIBRO[Total AFP])</f>
        <v>1239613</v>
      </c>
      <c r="AF13">
        <f>SUBTOTAL(109,LIBRO[Tasa AFP])</f>
        <v>100.46</v>
      </c>
      <c r="AG13">
        <f>SUBTOTAL(109,LIBRO[Solo AFP])</f>
        <v>0</v>
      </c>
      <c r="AH13">
        <f>SUBTOTAL(109,LIBRO[Adicional AFP])</f>
        <v>0</v>
      </c>
      <c r="AI13">
        <f>SUBTOTAL(109,LIBRO[Tasa Adicional AFP])</f>
        <v>0</v>
      </c>
      <c r="AJ13">
        <f>SUBTOTAL(109,LIBRO[INP])</f>
        <v>0</v>
      </c>
      <c r="AK13">
        <f>SUBTOTAL(109,LIBRO[Trabajo Pesado Empleado])</f>
        <v>0</v>
      </c>
      <c r="AL13">
        <f>SUBTOTAL(109,LIBRO[FONASA])</f>
        <v>678595</v>
      </c>
      <c r="AM13">
        <f>SUBTOTAL(109,LIBRO[ISAPRE])</f>
        <v>95588</v>
      </c>
      <c r="AN13">
        <f>SUBTOTAL(109,LIBRO[Adicional Salud])</f>
        <v>60495</v>
      </c>
      <c r="AO13">
        <f>SUBTOTAL(109,LIBRO[Total Salud])</f>
        <v>834678</v>
      </c>
      <c r="AP13">
        <f>SUBTOTAL(109,LIBRO[AFC Empleado])</f>
        <v>66358</v>
      </c>
      <c r="AQ13">
        <f>SUBTOTAL(109,LIBRO[Leyes Sociales])</f>
        <v>2140649</v>
      </c>
      <c r="AR13">
        <f>SUBTOTAL(109,LIBRO[Impuesto Unico])</f>
        <v>64233</v>
      </c>
      <c r="AS13">
        <f>SUBTOTAL(109,LIBRO[Rebaja Zona Extrema])</f>
        <v>0</v>
      </c>
      <c r="AT13">
        <f>SUBTOTAL(109,LIBRO[Cta Ahorro AFP])</f>
        <v>0</v>
      </c>
      <c r="AU13">
        <f>SUBTOTAL(109,LIBRO[APV A])</f>
        <v>0</v>
      </c>
      <c r="AV13">
        <f>SUBTOTAL(109,LIBRO[APV B])</f>
        <v>0</v>
      </c>
      <c r="AW13">
        <f>SUBTOTAL(109,LIBRO[APV C])</f>
        <v>0</v>
      </c>
      <c r="AX13">
        <f>SUBTOTAL(109,LIBRO[TOTAL APV])</f>
        <v>0</v>
      </c>
      <c r="AY13">
        <f>SUBTOTAL(109,LIBRO[Anticipos])</f>
        <v>0</v>
      </c>
      <c r="AZ13">
        <f>SUBTOTAL(109,LIBRO[Otros Descuentos])</f>
        <v>0</v>
      </c>
      <c r="BA13">
        <f>SUBTOTAL(109,LIBRO[Prestamos Caja])</f>
        <v>0</v>
      </c>
      <c r="BB13">
        <f>SUBTOTAL(109,LIBRO[Prestamo Social])</f>
        <v>0</v>
      </c>
      <c r="BC13">
        <f>SUBTOTAL(109,LIBRO[Prestamos Empresa])</f>
        <v>0</v>
      </c>
      <c r="BD13">
        <f>SUBTOTAL(109,LIBRO[Total Prestamos])</f>
        <v>0</v>
      </c>
      <c r="BE13">
        <f>SUBTOTAL(109,LIBRO[Seguros Dentales])</f>
        <v>0</v>
      </c>
      <c r="BF13">
        <f>SUBTOTAL(109,LIBRO[Ahorro Caja])</f>
        <v>0</v>
      </c>
      <c r="BG13">
        <f>SUBTOTAL(109,LIBRO[Seguros de Vida])</f>
        <v>0</v>
      </c>
      <c r="BH13">
        <f>SUBTOTAL(109,LIBRO[Cobertura de Suspension Total])</f>
        <v>0</v>
      </c>
      <c r="BI13">
        <f>SUBTOTAL(109,LIBRO[Cobertura de Suspension])</f>
        <v>0</v>
      </c>
      <c r="BJ13">
        <f>SUBTOTAL(109,LIBRO[Total Descuentos])</f>
        <v>2204882</v>
      </c>
      <c r="BK13">
        <f>SUBTOTAL(109,LIBRO[Sueldo Liquido])</f>
        <v>9705565</v>
      </c>
      <c r="BL13">
        <f>SUBTOTAL(109,LIBRO[AFC Empresa])</f>
        <v>265436</v>
      </c>
      <c r="BM13">
        <f>SUBTOTAL(109,LIBRO[SIS])</f>
        <v>207923</v>
      </c>
      <c r="BN13">
        <f>SUBTOTAL(109,LIBRO[MUTUAL])</f>
        <v>384881</v>
      </c>
      <c r="BO13">
        <f>SUBTOTAL(109,LIBRO[Caja Compensacion])</f>
        <v>0</v>
      </c>
      <c r="BP13">
        <f>SUBTOTAL(109,LIBRO[COSTO EMPRESA])</f>
        <v>12768687</v>
      </c>
    </row>
  </sheetData>
  <pageMargins left="0.7" right="0.7" top="0.75" bottom="0.75" header="0.3" footer="0.3"/>
  <pageSetup paperSize="9" orientation="landscape" horizontalDpi="4294967295" verticalDpi="4294967295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13"/>
  <sheetViews>
    <sheetView workbookViewId="0"/>
  </sheetViews>
  <sheetFormatPr baseColWidth="10" defaultColWidth="9.140625" defaultRowHeight="15" x14ac:dyDescent="0.25"/>
  <sheetData>
    <row r="3" spans="1:7" x14ac:dyDescent="0.25">
      <c r="A3" t="s">
        <v>0</v>
      </c>
      <c r="B3" t="s">
        <v>1</v>
      </c>
      <c r="C3" t="s">
        <v>2</v>
      </c>
      <c r="D3" t="s">
        <v>3</v>
      </c>
      <c r="E3" t="s">
        <v>4</v>
      </c>
      <c r="F3" t="s">
        <v>108</v>
      </c>
      <c r="G3" t="s">
        <v>109</v>
      </c>
    </row>
    <row r="4" spans="1:7" x14ac:dyDescent="0.25">
      <c r="A4" t="s">
        <v>67</v>
      </c>
      <c r="B4" t="s">
        <v>68</v>
      </c>
      <c r="C4" t="s">
        <v>69</v>
      </c>
      <c r="D4" t="s">
        <v>70</v>
      </c>
      <c r="E4" t="s">
        <v>71</v>
      </c>
      <c r="F4">
        <v>431784</v>
      </c>
      <c r="G4">
        <v>431784</v>
      </c>
    </row>
    <row r="5" spans="1:7" x14ac:dyDescent="0.25">
      <c r="A5" t="s">
        <v>73</v>
      </c>
      <c r="B5" t="s">
        <v>74</v>
      </c>
      <c r="C5" t="s">
        <v>75</v>
      </c>
      <c r="D5" t="s">
        <v>76</v>
      </c>
      <c r="E5" t="s">
        <v>71</v>
      </c>
      <c r="F5">
        <v>353211</v>
      </c>
      <c r="G5">
        <v>353211</v>
      </c>
    </row>
    <row r="6" spans="1:7" x14ac:dyDescent="0.25">
      <c r="A6" t="s">
        <v>78</v>
      </c>
      <c r="B6" t="s">
        <v>79</v>
      </c>
      <c r="C6" t="s">
        <v>80</v>
      </c>
      <c r="D6" t="s">
        <v>80</v>
      </c>
      <c r="E6" t="s">
        <v>71</v>
      </c>
      <c r="F6">
        <v>342357</v>
      </c>
      <c r="G6">
        <v>342357</v>
      </c>
    </row>
    <row r="7" spans="1:7" x14ac:dyDescent="0.25">
      <c r="A7" t="s">
        <v>82</v>
      </c>
      <c r="B7" t="s">
        <v>83</v>
      </c>
      <c r="C7" t="s">
        <v>84</v>
      </c>
      <c r="D7" t="s">
        <v>85</v>
      </c>
      <c r="E7" t="s">
        <v>71</v>
      </c>
      <c r="F7">
        <v>542919</v>
      </c>
      <c r="G7">
        <v>542919</v>
      </c>
    </row>
    <row r="8" spans="1:7" x14ac:dyDescent="0.25">
      <c r="A8" t="s">
        <v>86</v>
      </c>
      <c r="B8" t="s">
        <v>87</v>
      </c>
      <c r="C8" t="s">
        <v>88</v>
      </c>
      <c r="D8" t="s">
        <v>89</v>
      </c>
      <c r="E8" t="s">
        <v>71</v>
      </c>
      <c r="F8">
        <v>584919</v>
      </c>
      <c r="G8">
        <v>584919</v>
      </c>
    </row>
    <row r="9" spans="1:7" x14ac:dyDescent="0.25">
      <c r="A9" t="s">
        <v>90</v>
      </c>
      <c r="B9" t="s">
        <v>91</v>
      </c>
      <c r="C9" t="s">
        <v>92</v>
      </c>
      <c r="D9" t="s">
        <v>93</v>
      </c>
      <c r="E9" t="s">
        <v>71</v>
      </c>
      <c r="F9">
        <v>1163952</v>
      </c>
      <c r="G9">
        <v>1163952</v>
      </c>
    </row>
    <row r="10" spans="1:7" x14ac:dyDescent="0.25">
      <c r="A10" t="s">
        <v>95</v>
      </c>
      <c r="B10" t="s">
        <v>96</v>
      </c>
      <c r="C10" t="s">
        <v>97</v>
      </c>
      <c r="D10" t="s">
        <v>98</v>
      </c>
      <c r="E10" t="s">
        <v>71</v>
      </c>
      <c r="F10">
        <v>263202</v>
      </c>
      <c r="G10">
        <v>263202</v>
      </c>
    </row>
    <row r="11" spans="1:7" x14ac:dyDescent="0.25">
      <c r="A11" t="s">
        <v>99</v>
      </c>
      <c r="B11" t="s">
        <v>100</v>
      </c>
      <c r="C11" t="s">
        <v>101</v>
      </c>
      <c r="D11" t="s">
        <v>102</v>
      </c>
      <c r="E11" t="s">
        <v>71</v>
      </c>
      <c r="F11">
        <v>424784</v>
      </c>
      <c r="G11">
        <v>424784</v>
      </c>
    </row>
    <row r="12" spans="1:7" x14ac:dyDescent="0.25">
      <c r="A12" t="s">
        <v>103</v>
      </c>
      <c r="B12" t="s">
        <v>104</v>
      </c>
      <c r="C12" t="s">
        <v>105</v>
      </c>
      <c r="D12" t="s">
        <v>106</v>
      </c>
      <c r="E12" t="s">
        <v>71</v>
      </c>
      <c r="F12">
        <v>455628</v>
      </c>
      <c r="G12">
        <v>455628</v>
      </c>
    </row>
    <row r="13" spans="1:7" x14ac:dyDescent="0.25">
      <c r="A13" t="s">
        <v>107</v>
      </c>
      <c r="F13">
        <f>SUBTOTAL(109,BONOS[Total Bonos])</f>
        <v>4562756</v>
      </c>
      <c r="G13">
        <f>SUBTOTAL(109,BONOS[PRODUCCION])</f>
        <v>4562756</v>
      </c>
    </row>
  </sheetData>
  <pageMargins left="0.7" right="0.7" top="0.75" bottom="0.75" header="0.3" footer="0.3"/>
  <pageSetup paperSize="9" orientation="landscape" horizontalDpi="4294967295" verticalDpi="4294967295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13"/>
  <sheetViews>
    <sheetView workbookViewId="0"/>
  </sheetViews>
  <sheetFormatPr baseColWidth="10" defaultColWidth="9.140625" defaultRowHeight="15" x14ac:dyDescent="0.25"/>
  <sheetData>
    <row r="3" spans="1:6" x14ac:dyDescent="0.25">
      <c r="A3" t="s">
        <v>0</v>
      </c>
      <c r="B3" t="s">
        <v>1</v>
      </c>
      <c r="C3" t="s">
        <v>2</v>
      </c>
      <c r="D3" t="s">
        <v>3</v>
      </c>
      <c r="E3" t="s">
        <v>4</v>
      </c>
      <c r="F3" t="s">
        <v>110</v>
      </c>
    </row>
    <row r="4" spans="1:6" x14ac:dyDescent="0.25">
      <c r="A4" t="s">
        <v>67</v>
      </c>
      <c r="B4" t="s">
        <v>68</v>
      </c>
      <c r="C4" t="s">
        <v>69</v>
      </c>
      <c r="D4" t="s">
        <v>70</v>
      </c>
      <c r="E4" t="s">
        <v>71</v>
      </c>
      <c r="F4">
        <v>0</v>
      </c>
    </row>
    <row r="5" spans="1:6" x14ac:dyDescent="0.25">
      <c r="A5" t="s">
        <v>73</v>
      </c>
      <c r="B5" t="s">
        <v>74</v>
      </c>
      <c r="C5" t="s">
        <v>75</v>
      </c>
      <c r="D5" t="s">
        <v>76</v>
      </c>
      <c r="E5" t="s">
        <v>71</v>
      </c>
      <c r="F5">
        <v>0</v>
      </c>
    </row>
    <row r="6" spans="1:6" x14ac:dyDescent="0.25">
      <c r="A6" t="s">
        <v>78</v>
      </c>
      <c r="B6" t="s">
        <v>79</v>
      </c>
      <c r="C6" t="s">
        <v>80</v>
      </c>
      <c r="D6" t="s">
        <v>80</v>
      </c>
      <c r="E6" t="s">
        <v>71</v>
      </c>
      <c r="F6">
        <v>0</v>
      </c>
    </row>
    <row r="7" spans="1:6" x14ac:dyDescent="0.25">
      <c r="A7" t="s">
        <v>82</v>
      </c>
      <c r="B7" t="s">
        <v>83</v>
      </c>
      <c r="C7" t="s">
        <v>84</v>
      </c>
      <c r="D7" t="s">
        <v>85</v>
      </c>
      <c r="E7" t="s">
        <v>71</v>
      </c>
      <c r="F7">
        <v>0</v>
      </c>
    </row>
    <row r="8" spans="1:6" x14ac:dyDescent="0.25">
      <c r="A8" t="s">
        <v>86</v>
      </c>
      <c r="B8" t="s">
        <v>87</v>
      </c>
      <c r="C8" t="s">
        <v>88</v>
      </c>
      <c r="D8" t="s">
        <v>89</v>
      </c>
      <c r="E8" t="s">
        <v>71</v>
      </c>
      <c r="F8">
        <v>0</v>
      </c>
    </row>
    <row r="9" spans="1:6" x14ac:dyDescent="0.25">
      <c r="A9" t="s">
        <v>90</v>
      </c>
      <c r="B9" t="s">
        <v>91</v>
      </c>
      <c r="C9" t="s">
        <v>92</v>
      </c>
      <c r="D9" t="s">
        <v>93</v>
      </c>
      <c r="E9" t="s">
        <v>71</v>
      </c>
      <c r="F9">
        <v>0</v>
      </c>
    </row>
    <row r="10" spans="1:6" x14ac:dyDescent="0.25">
      <c r="A10" t="s">
        <v>95</v>
      </c>
      <c r="B10" t="s">
        <v>96</v>
      </c>
      <c r="C10" t="s">
        <v>97</v>
      </c>
      <c r="D10" t="s">
        <v>98</v>
      </c>
      <c r="E10" t="s">
        <v>71</v>
      </c>
      <c r="F10">
        <v>0</v>
      </c>
    </row>
    <row r="11" spans="1:6" x14ac:dyDescent="0.25">
      <c r="A11" t="s">
        <v>99</v>
      </c>
      <c r="B11" t="s">
        <v>100</v>
      </c>
      <c r="C11" t="s">
        <v>101</v>
      </c>
      <c r="D11" t="s">
        <v>102</v>
      </c>
      <c r="E11" t="s">
        <v>71</v>
      </c>
      <c r="F11">
        <v>0</v>
      </c>
    </row>
    <row r="12" spans="1:6" x14ac:dyDescent="0.25">
      <c r="A12" t="s">
        <v>103</v>
      </c>
      <c r="B12" t="s">
        <v>104</v>
      </c>
      <c r="C12" t="s">
        <v>105</v>
      </c>
      <c r="D12" t="s">
        <v>106</v>
      </c>
      <c r="E12" t="s">
        <v>71</v>
      </c>
      <c r="F12">
        <v>0</v>
      </c>
    </row>
    <row r="13" spans="1:6" x14ac:dyDescent="0.25">
      <c r="A13" t="s">
        <v>107</v>
      </c>
      <c r="F13">
        <f>SUBTOTAL(109,HORAEXTRA[Total Hora Extra])</f>
        <v>0</v>
      </c>
    </row>
  </sheetData>
  <pageMargins left="0.7" right="0.7" top="0.75" bottom="0.75" header="0.3" footer="0.3"/>
  <pageSetup paperSize="9" orientation="landscape" horizontalDpi="4294967295" verticalDpi="4294967295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13"/>
  <sheetViews>
    <sheetView workbookViewId="0"/>
  </sheetViews>
  <sheetFormatPr baseColWidth="10" defaultColWidth="9.140625" defaultRowHeight="15" x14ac:dyDescent="0.25"/>
  <sheetData>
    <row r="3" spans="1:6" x14ac:dyDescent="0.25">
      <c r="A3" t="s">
        <v>0</v>
      </c>
      <c r="B3" t="s">
        <v>1</v>
      </c>
      <c r="C3" t="s">
        <v>2</v>
      </c>
      <c r="D3" t="s">
        <v>3</v>
      </c>
      <c r="E3" t="s">
        <v>4</v>
      </c>
      <c r="F3" t="s">
        <v>19</v>
      </c>
    </row>
    <row r="4" spans="1:6" x14ac:dyDescent="0.25">
      <c r="A4" t="s">
        <v>67</v>
      </c>
      <c r="B4" t="s">
        <v>68</v>
      </c>
      <c r="C4" t="s">
        <v>69</v>
      </c>
      <c r="D4" t="s">
        <v>70</v>
      </c>
      <c r="E4" t="s">
        <v>71</v>
      </c>
      <c r="F4">
        <v>0</v>
      </c>
    </row>
    <row r="5" spans="1:6" x14ac:dyDescent="0.25">
      <c r="A5" t="s">
        <v>73</v>
      </c>
      <c r="B5" t="s">
        <v>74</v>
      </c>
      <c r="C5" t="s">
        <v>75</v>
      </c>
      <c r="D5" t="s">
        <v>76</v>
      </c>
      <c r="E5" t="s">
        <v>71</v>
      </c>
      <c r="F5">
        <v>0</v>
      </c>
    </row>
    <row r="6" spans="1:6" x14ac:dyDescent="0.25">
      <c r="A6" t="s">
        <v>78</v>
      </c>
      <c r="B6" t="s">
        <v>79</v>
      </c>
      <c r="C6" t="s">
        <v>80</v>
      </c>
      <c r="D6" t="s">
        <v>80</v>
      </c>
      <c r="E6" t="s">
        <v>71</v>
      </c>
      <c r="F6">
        <v>0</v>
      </c>
    </row>
    <row r="7" spans="1:6" x14ac:dyDescent="0.25">
      <c r="A7" t="s">
        <v>82</v>
      </c>
      <c r="B7" t="s">
        <v>83</v>
      </c>
      <c r="C7" t="s">
        <v>84</v>
      </c>
      <c r="D7" t="s">
        <v>85</v>
      </c>
      <c r="E7" t="s">
        <v>71</v>
      </c>
      <c r="F7">
        <v>0</v>
      </c>
    </row>
    <row r="8" spans="1:6" x14ac:dyDescent="0.25">
      <c r="A8" t="s">
        <v>86</v>
      </c>
      <c r="B8" t="s">
        <v>87</v>
      </c>
      <c r="C8" t="s">
        <v>88</v>
      </c>
      <c r="D8" t="s">
        <v>89</v>
      </c>
      <c r="E8" t="s">
        <v>71</v>
      </c>
      <c r="F8">
        <v>0</v>
      </c>
    </row>
    <row r="9" spans="1:6" x14ac:dyDescent="0.25">
      <c r="A9" t="s">
        <v>90</v>
      </c>
      <c r="B9" t="s">
        <v>91</v>
      </c>
      <c r="C9" t="s">
        <v>92</v>
      </c>
      <c r="D9" t="s">
        <v>93</v>
      </c>
      <c r="E9" t="s">
        <v>71</v>
      </c>
      <c r="F9">
        <v>0</v>
      </c>
    </row>
    <row r="10" spans="1:6" x14ac:dyDescent="0.25">
      <c r="A10" t="s">
        <v>95</v>
      </c>
      <c r="B10" t="s">
        <v>96</v>
      </c>
      <c r="C10" t="s">
        <v>97</v>
      </c>
      <c r="D10" t="s">
        <v>98</v>
      </c>
      <c r="E10" t="s">
        <v>71</v>
      </c>
      <c r="F10">
        <v>0</v>
      </c>
    </row>
    <row r="11" spans="1:6" x14ac:dyDescent="0.25">
      <c r="A11" t="s">
        <v>99</v>
      </c>
      <c r="B11" t="s">
        <v>100</v>
      </c>
      <c r="C11" t="s">
        <v>101</v>
      </c>
      <c r="D11" t="s">
        <v>102</v>
      </c>
      <c r="E11" t="s">
        <v>71</v>
      </c>
      <c r="F11">
        <v>0</v>
      </c>
    </row>
    <row r="12" spans="1:6" x14ac:dyDescent="0.25">
      <c r="A12" t="s">
        <v>103</v>
      </c>
      <c r="B12" t="s">
        <v>104</v>
      </c>
      <c r="C12" t="s">
        <v>105</v>
      </c>
      <c r="D12" t="s">
        <v>106</v>
      </c>
      <c r="E12" t="s">
        <v>71</v>
      </c>
      <c r="F12">
        <v>0</v>
      </c>
    </row>
    <row r="13" spans="1:6" x14ac:dyDescent="0.25">
      <c r="A13" t="s">
        <v>107</v>
      </c>
      <c r="F13">
        <f>SUBTOTAL(109,COMISIONES[Total Comisiones])</f>
        <v>0</v>
      </c>
    </row>
  </sheetData>
  <pageMargins left="0.7" right="0.7" top="0.75" bottom="0.75" header="0.3" footer="0.3"/>
  <pageSetup paperSize="9" orientation="landscape" horizontalDpi="4294967295" verticalDpi="4294967295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13"/>
  <sheetViews>
    <sheetView workbookViewId="0"/>
  </sheetViews>
  <sheetFormatPr baseColWidth="10" defaultColWidth="9.140625" defaultRowHeight="15" x14ac:dyDescent="0.25"/>
  <sheetData>
    <row r="3" spans="1:6" x14ac:dyDescent="0.25">
      <c r="A3" t="s">
        <v>0</v>
      </c>
      <c r="B3" t="s">
        <v>1</v>
      </c>
      <c r="C3" t="s">
        <v>2</v>
      </c>
      <c r="D3" t="s">
        <v>3</v>
      </c>
      <c r="E3" t="s">
        <v>4</v>
      </c>
      <c r="F3" t="s">
        <v>111</v>
      </c>
    </row>
    <row r="4" spans="1:6" x14ac:dyDescent="0.25">
      <c r="A4" t="s">
        <v>67</v>
      </c>
      <c r="B4" t="s">
        <v>68</v>
      </c>
      <c r="C4" t="s">
        <v>69</v>
      </c>
      <c r="D4" t="s">
        <v>70</v>
      </c>
      <c r="E4" t="s">
        <v>71</v>
      </c>
      <c r="F4">
        <v>0</v>
      </c>
    </row>
    <row r="5" spans="1:6" x14ac:dyDescent="0.25">
      <c r="A5" t="s">
        <v>73</v>
      </c>
      <c r="B5" t="s">
        <v>74</v>
      </c>
      <c r="C5" t="s">
        <v>75</v>
      </c>
      <c r="D5" t="s">
        <v>76</v>
      </c>
      <c r="E5" t="s">
        <v>71</v>
      </c>
      <c r="F5">
        <v>0</v>
      </c>
    </row>
    <row r="6" spans="1:6" x14ac:dyDescent="0.25">
      <c r="A6" t="s">
        <v>78</v>
      </c>
      <c r="B6" t="s">
        <v>79</v>
      </c>
      <c r="C6" t="s">
        <v>80</v>
      </c>
      <c r="D6" t="s">
        <v>80</v>
      </c>
      <c r="E6" t="s">
        <v>71</v>
      </c>
      <c r="F6">
        <v>0</v>
      </c>
    </row>
    <row r="7" spans="1:6" x14ac:dyDescent="0.25">
      <c r="A7" t="s">
        <v>82</v>
      </c>
      <c r="B7" t="s">
        <v>83</v>
      </c>
      <c r="C7" t="s">
        <v>84</v>
      </c>
      <c r="D7" t="s">
        <v>85</v>
      </c>
      <c r="E7" t="s">
        <v>71</v>
      </c>
      <c r="F7">
        <v>0</v>
      </c>
    </row>
    <row r="8" spans="1:6" x14ac:dyDescent="0.25">
      <c r="A8" t="s">
        <v>86</v>
      </c>
      <c r="B8" t="s">
        <v>87</v>
      </c>
      <c r="C8" t="s">
        <v>88</v>
      </c>
      <c r="D8" t="s">
        <v>89</v>
      </c>
      <c r="E8" t="s">
        <v>71</v>
      </c>
      <c r="F8">
        <v>0</v>
      </c>
    </row>
    <row r="9" spans="1:6" x14ac:dyDescent="0.25">
      <c r="A9" t="s">
        <v>90</v>
      </c>
      <c r="B9" t="s">
        <v>91</v>
      </c>
      <c r="C9" t="s">
        <v>92</v>
      </c>
      <c r="D9" t="s">
        <v>93</v>
      </c>
      <c r="E9" t="s">
        <v>71</v>
      </c>
      <c r="F9">
        <v>0</v>
      </c>
    </row>
    <row r="10" spans="1:6" x14ac:dyDescent="0.25">
      <c r="A10" t="s">
        <v>95</v>
      </c>
      <c r="B10" t="s">
        <v>96</v>
      </c>
      <c r="C10" t="s">
        <v>97</v>
      </c>
      <c r="D10" t="s">
        <v>98</v>
      </c>
      <c r="E10" t="s">
        <v>71</v>
      </c>
      <c r="F10">
        <v>0</v>
      </c>
    </row>
    <row r="11" spans="1:6" x14ac:dyDescent="0.25">
      <c r="A11" t="s">
        <v>99</v>
      </c>
      <c r="B11" t="s">
        <v>100</v>
      </c>
      <c r="C11" t="s">
        <v>101</v>
      </c>
      <c r="D11" t="s">
        <v>102</v>
      </c>
      <c r="E11" t="s">
        <v>71</v>
      </c>
      <c r="F11">
        <v>0</v>
      </c>
    </row>
    <row r="12" spans="1:6" x14ac:dyDescent="0.25">
      <c r="A12" t="s">
        <v>103</v>
      </c>
      <c r="B12" t="s">
        <v>104</v>
      </c>
      <c r="C12" t="s">
        <v>105</v>
      </c>
      <c r="D12" t="s">
        <v>106</v>
      </c>
      <c r="E12" t="s">
        <v>71</v>
      </c>
      <c r="F12">
        <v>0</v>
      </c>
    </row>
    <row r="13" spans="1:6" x14ac:dyDescent="0.25">
      <c r="A13" t="s">
        <v>107</v>
      </c>
      <c r="F13">
        <f>SUBTOTAL(109,NOIMPONIBLE[Total Bonos No Imponibles])</f>
        <v>0</v>
      </c>
    </row>
  </sheetData>
  <pageMargins left="0.7" right="0.7" top="0.75" bottom="0.75" header="0.3" footer="0.3"/>
  <pageSetup paperSize="9" orientation="landscape" horizontalDpi="4294967295" verticalDpi="4294967295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13"/>
  <sheetViews>
    <sheetView workbookViewId="0"/>
  </sheetViews>
  <sheetFormatPr baseColWidth="10" defaultColWidth="9.140625" defaultRowHeight="15" x14ac:dyDescent="0.25"/>
  <sheetData>
    <row r="3" spans="1:6" x14ac:dyDescent="0.25">
      <c r="A3" t="s">
        <v>0</v>
      </c>
      <c r="B3" t="s">
        <v>1</v>
      </c>
      <c r="C3" t="s">
        <v>2</v>
      </c>
      <c r="D3" t="s">
        <v>3</v>
      </c>
      <c r="E3" t="s">
        <v>4</v>
      </c>
      <c r="F3" t="s">
        <v>55</v>
      </c>
    </row>
    <row r="4" spans="1:6" x14ac:dyDescent="0.25">
      <c r="A4" t="s">
        <v>67</v>
      </c>
      <c r="B4" t="s">
        <v>68</v>
      </c>
      <c r="C4" t="s">
        <v>69</v>
      </c>
      <c r="D4" t="s">
        <v>70</v>
      </c>
      <c r="E4" t="s">
        <v>71</v>
      </c>
      <c r="F4">
        <v>0</v>
      </c>
    </row>
    <row r="5" spans="1:6" x14ac:dyDescent="0.25">
      <c r="A5" t="s">
        <v>73</v>
      </c>
      <c r="B5" t="s">
        <v>74</v>
      </c>
      <c r="C5" t="s">
        <v>75</v>
      </c>
      <c r="D5" t="s">
        <v>76</v>
      </c>
      <c r="E5" t="s">
        <v>71</v>
      </c>
      <c r="F5">
        <v>0</v>
      </c>
    </row>
    <row r="6" spans="1:6" x14ac:dyDescent="0.25">
      <c r="A6" t="s">
        <v>78</v>
      </c>
      <c r="B6" t="s">
        <v>79</v>
      </c>
      <c r="C6" t="s">
        <v>80</v>
      </c>
      <c r="D6" t="s">
        <v>80</v>
      </c>
      <c r="E6" t="s">
        <v>71</v>
      </c>
      <c r="F6">
        <v>0</v>
      </c>
    </row>
    <row r="7" spans="1:6" x14ac:dyDescent="0.25">
      <c r="A7" t="s">
        <v>82</v>
      </c>
      <c r="B7" t="s">
        <v>83</v>
      </c>
      <c r="C7" t="s">
        <v>84</v>
      </c>
      <c r="D7" t="s">
        <v>85</v>
      </c>
      <c r="E7" t="s">
        <v>71</v>
      </c>
      <c r="F7">
        <v>0</v>
      </c>
    </row>
    <row r="8" spans="1:6" x14ac:dyDescent="0.25">
      <c r="A8" t="s">
        <v>86</v>
      </c>
      <c r="B8" t="s">
        <v>87</v>
      </c>
      <c r="C8" t="s">
        <v>88</v>
      </c>
      <c r="D8" t="s">
        <v>89</v>
      </c>
      <c r="E8" t="s">
        <v>71</v>
      </c>
      <c r="F8">
        <v>0</v>
      </c>
    </row>
    <row r="9" spans="1:6" x14ac:dyDescent="0.25">
      <c r="A9" t="s">
        <v>90</v>
      </c>
      <c r="B9" t="s">
        <v>91</v>
      </c>
      <c r="C9" t="s">
        <v>92</v>
      </c>
      <c r="D9" t="s">
        <v>93</v>
      </c>
      <c r="E9" t="s">
        <v>71</v>
      </c>
      <c r="F9">
        <v>0</v>
      </c>
    </row>
    <row r="10" spans="1:6" x14ac:dyDescent="0.25">
      <c r="A10" t="s">
        <v>95</v>
      </c>
      <c r="B10" t="s">
        <v>96</v>
      </c>
      <c r="C10" t="s">
        <v>97</v>
      </c>
      <c r="D10" t="s">
        <v>98</v>
      </c>
      <c r="E10" t="s">
        <v>71</v>
      </c>
      <c r="F10">
        <v>0</v>
      </c>
    </row>
    <row r="11" spans="1:6" x14ac:dyDescent="0.25">
      <c r="A11" t="s">
        <v>99</v>
      </c>
      <c r="B11" t="s">
        <v>100</v>
      </c>
      <c r="C11" t="s">
        <v>101</v>
      </c>
      <c r="D11" t="s">
        <v>102</v>
      </c>
      <c r="E11" t="s">
        <v>71</v>
      </c>
      <c r="F11">
        <v>0</v>
      </c>
    </row>
    <row r="12" spans="1:6" x14ac:dyDescent="0.25">
      <c r="A12" t="s">
        <v>103</v>
      </c>
      <c r="B12" t="s">
        <v>104</v>
      </c>
      <c r="C12" t="s">
        <v>105</v>
      </c>
      <c r="D12" t="s">
        <v>106</v>
      </c>
      <c r="E12" t="s">
        <v>71</v>
      </c>
      <c r="F12">
        <v>0</v>
      </c>
    </row>
    <row r="13" spans="1:6" x14ac:dyDescent="0.25">
      <c r="A13" t="s">
        <v>107</v>
      </c>
      <c r="F13">
        <f>SUBTOTAL(109,PRESTAMOS[Total Prestamos])</f>
        <v>0</v>
      </c>
    </row>
  </sheetData>
  <pageMargins left="0.7" right="0.7" top="0.75" bottom="0.75" header="0.3" footer="0.3"/>
  <pageSetup paperSize="9" orientation="landscape" horizontalDpi="4294967295" verticalDpi="4294967295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13"/>
  <sheetViews>
    <sheetView workbookViewId="0"/>
  </sheetViews>
  <sheetFormatPr baseColWidth="10" defaultColWidth="9.140625" defaultRowHeight="15" x14ac:dyDescent="0.25"/>
  <sheetData>
    <row r="3" spans="1:6" x14ac:dyDescent="0.25">
      <c r="A3" t="s">
        <v>0</v>
      </c>
      <c r="B3" t="s">
        <v>1</v>
      </c>
      <c r="C3" t="s">
        <v>2</v>
      </c>
      <c r="D3" t="s">
        <v>3</v>
      </c>
      <c r="E3" t="s">
        <v>4</v>
      </c>
      <c r="F3" t="s">
        <v>112</v>
      </c>
    </row>
    <row r="4" spans="1:6" x14ac:dyDescent="0.25">
      <c r="A4" t="s">
        <v>67</v>
      </c>
      <c r="B4" t="s">
        <v>68</v>
      </c>
      <c r="C4" t="s">
        <v>69</v>
      </c>
      <c r="D4" t="s">
        <v>70</v>
      </c>
      <c r="E4" t="s">
        <v>71</v>
      </c>
      <c r="F4">
        <v>0</v>
      </c>
    </row>
    <row r="5" spans="1:6" x14ac:dyDescent="0.25">
      <c r="A5" t="s">
        <v>73</v>
      </c>
      <c r="B5" t="s">
        <v>74</v>
      </c>
      <c r="C5" t="s">
        <v>75</v>
      </c>
      <c r="D5" t="s">
        <v>76</v>
      </c>
      <c r="E5" t="s">
        <v>71</v>
      </c>
      <c r="F5">
        <v>0</v>
      </c>
    </row>
    <row r="6" spans="1:6" x14ac:dyDescent="0.25">
      <c r="A6" t="s">
        <v>78</v>
      </c>
      <c r="B6" t="s">
        <v>79</v>
      </c>
      <c r="C6" t="s">
        <v>80</v>
      </c>
      <c r="D6" t="s">
        <v>80</v>
      </c>
      <c r="E6" t="s">
        <v>71</v>
      </c>
      <c r="F6">
        <v>0</v>
      </c>
    </row>
    <row r="7" spans="1:6" x14ac:dyDescent="0.25">
      <c r="A7" t="s">
        <v>82</v>
      </c>
      <c r="B7" t="s">
        <v>83</v>
      </c>
      <c r="C7" t="s">
        <v>84</v>
      </c>
      <c r="D7" t="s">
        <v>85</v>
      </c>
      <c r="E7" t="s">
        <v>71</v>
      </c>
      <c r="F7">
        <v>0</v>
      </c>
    </row>
    <row r="8" spans="1:6" x14ac:dyDescent="0.25">
      <c r="A8" t="s">
        <v>86</v>
      </c>
      <c r="B8" t="s">
        <v>87</v>
      </c>
      <c r="C8" t="s">
        <v>88</v>
      </c>
      <c r="D8" t="s">
        <v>89</v>
      </c>
      <c r="E8" t="s">
        <v>71</v>
      </c>
      <c r="F8">
        <v>0</v>
      </c>
    </row>
    <row r="9" spans="1:6" x14ac:dyDescent="0.25">
      <c r="A9" t="s">
        <v>90</v>
      </c>
      <c r="B9" t="s">
        <v>91</v>
      </c>
      <c r="C9" t="s">
        <v>92</v>
      </c>
      <c r="D9" t="s">
        <v>93</v>
      </c>
      <c r="E9" t="s">
        <v>71</v>
      </c>
      <c r="F9">
        <v>0</v>
      </c>
    </row>
    <row r="10" spans="1:6" x14ac:dyDescent="0.25">
      <c r="A10" t="s">
        <v>95</v>
      </c>
      <c r="B10" t="s">
        <v>96</v>
      </c>
      <c r="C10" t="s">
        <v>97</v>
      </c>
      <c r="D10" t="s">
        <v>98</v>
      </c>
      <c r="E10" t="s">
        <v>71</v>
      </c>
      <c r="F10">
        <v>0</v>
      </c>
    </row>
    <row r="11" spans="1:6" x14ac:dyDescent="0.25">
      <c r="A11" t="s">
        <v>99</v>
      </c>
      <c r="B11" t="s">
        <v>100</v>
      </c>
      <c r="C11" t="s">
        <v>101</v>
      </c>
      <c r="D11" t="s">
        <v>102</v>
      </c>
      <c r="E11" t="s">
        <v>71</v>
      </c>
      <c r="F11">
        <v>0</v>
      </c>
    </row>
    <row r="12" spans="1:6" x14ac:dyDescent="0.25">
      <c r="A12" t="s">
        <v>103</v>
      </c>
      <c r="B12" t="s">
        <v>104</v>
      </c>
      <c r="C12" t="s">
        <v>105</v>
      </c>
      <c r="D12" t="s">
        <v>106</v>
      </c>
      <c r="E12" t="s">
        <v>71</v>
      </c>
      <c r="F12">
        <v>0</v>
      </c>
    </row>
    <row r="13" spans="1:6" x14ac:dyDescent="0.25">
      <c r="A13" t="s">
        <v>107</v>
      </c>
      <c r="F13">
        <f>SUBTOTAL(109,ANTICIPOS[Total Anticipos])</f>
        <v>0</v>
      </c>
    </row>
  </sheetData>
  <pageMargins left="0.7" right="0.7" top="0.75" bottom="0.75" header="0.3" footer="0.3"/>
  <pageSetup paperSize="9" orientation="landscape" horizontalDpi="4294967295" verticalDpi="4294967295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13"/>
  <sheetViews>
    <sheetView workbookViewId="0"/>
  </sheetViews>
  <sheetFormatPr baseColWidth="10" defaultColWidth="9.140625" defaultRowHeight="15" x14ac:dyDescent="0.25"/>
  <sheetData>
    <row r="3" spans="1:6" x14ac:dyDescent="0.25">
      <c r="A3" t="s">
        <v>0</v>
      </c>
      <c r="B3" t="s">
        <v>1</v>
      </c>
      <c r="C3" t="s">
        <v>2</v>
      </c>
      <c r="D3" t="s">
        <v>3</v>
      </c>
      <c r="E3" t="s">
        <v>4</v>
      </c>
      <c r="F3" t="s">
        <v>113</v>
      </c>
    </row>
    <row r="4" spans="1:6" x14ac:dyDescent="0.25">
      <c r="A4" t="s">
        <v>67</v>
      </c>
      <c r="B4" t="s">
        <v>68</v>
      </c>
      <c r="C4" t="s">
        <v>69</v>
      </c>
      <c r="D4" t="s">
        <v>70</v>
      </c>
      <c r="E4" t="s">
        <v>71</v>
      </c>
      <c r="F4">
        <v>0</v>
      </c>
    </row>
    <row r="5" spans="1:6" x14ac:dyDescent="0.25">
      <c r="A5" t="s">
        <v>73</v>
      </c>
      <c r="B5" t="s">
        <v>74</v>
      </c>
      <c r="C5" t="s">
        <v>75</v>
      </c>
      <c r="D5" t="s">
        <v>76</v>
      </c>
      <c r="E5" t="s">
        <v>71</v>
      </c>
      <c r="F5">
        <v>0</v>
      </c>
    </row>
    <row r="6" spans="1:6" x14ac:dyDescent="0.25">
      <c r="A6" t="s">
        <v>78</v>
      </c>
      <c r="B6" t="s">
        <v>79</v>
      </c>
      <c r="C6" t="s">
        <v>80</v>
      </c>
      <c r="D6" t="s">
        <v>80</v>
      </c>
      <c r="E6" t="s">
        <v>71</v>
      </c>
      <c r="F6">
        <v>0</v>
      </c>
    </row>
    <row r="7" spans="1:6" x14ac:dyDescent="0.25">
      <c r="A7" t="s">
        <v>82</v>
      </c>
      <c r="B7" t="s">
        <v>83</v>
      </c>
      <c r="C7" t="s">
        <v>84</v>
      </c>
      <c r="D7" t="s">
        <v>85</v>
      </c>
      <c r="E7" t="s">
        <v>71</v>
      </c>
      <c r="F7">
        <v>0</v>
      </c>
    </row>
    <row r="8" spans="1:6" x14ac:dyDescent="0.25">
      <c r="A8" t="s">
        <v>86</v>
      </c>
      <c r="B8" t="s">
        <v>87</v>
      </c>
      <c r="C8" t="s">
        <v>88</v>
      </c>
      <c r="D8" t="s">
        <v>89</v>
      </c>
      <c r="E8" t="s">
        <v>71</v>
      </c>
      <c r="F8">
        <v>0</v>
      </c>
    </row>
    <row r="9" spans="1:6" x14ac:dyDescent="0.25">
      <c r="A9" t="s">
        <v>90</v>
      </c>
      <c r="B9" t="s">
        <v>91</v>
      </c>
      <c r="C9" t="s">
        <v>92</v>
      </c>
      <c r="D9" t="s">
        <v>93</v>
      </c>
      <c r="E9" t="s">
        <v>71</v>
      </c>
      <c r="F9">
        <v>0</v>
      </c>
    </row>
    <row r="10" spans="1:6" x14ac:dyDescent="0.25">
      <c r="A10" t="s">
        <v>95</v>
      </c>
      <c r="B10" t="s">
        <v>96</v>
      </c>
      <c r="C10" t="s">
        <v>97</v>
      </c>
      <c r="D10" t="s">
        <v>98</v>
      </c>
      <c r="E10" t="s">
        <v>71</v>
      </c>
      <c r="F10">
        <v>0</v>
      </c>
    </row>
    <row r="11" spans="1:6" x14ac:dyDescent="0.25">
      <c r="A11" t="s">
        <v>99</v>
      </c>
      <c r="B11" t="s">
        <v>100</v>
      </c>
      <c r="C11" t="s">
        <v>101</v>
      </c>
      <c r="D11" t="s">
        <v>102</v>
      </c>
      <c r="E11" t="s">
        <v>71</v>
      </c>
      <c r="F11">
        <v>0</v>
      </c>
    </row>
    <row r="12" spans="1:6" x14ac:dyDescent="0.25">
      <c r="A12" t="s">
        <v>103</v>
      </c>
      <c r="B12" t="s">
        <v>104</v>
      </c>
      <c r="C12" t="s">
        <v>105</v>
      </c>
      <c r="D12" t="s">
        <v>106</v>
      </c>
      <c r="E12" t="s">
        <v>71</v>
      </c>
      <c r="F12">
        <v>0</v>
      </c>
    </row>
    <row r="13" spans="1:6" x14ac:dyDescent="0.25">
      <c r="A13" t="s">
        <v>107</v>
      </c>
      <c r="F13">
        <f>SUBTOTAL(109,DESCUENTOS[Total Otros Descuentos])</f>
        <v>0</v>
      </c>
    </row>
  </sheetData>
  <pageMargins left="0.7" right="0.7" top="0.75" bottom="0.75" header="0.3" footer="0.3"/>
  <pageSetup paperSize="9" orientation="landscape" horizontalDpi="4294967295" verticalDpi="4294967295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LIBRO</vt:lpstr>
      <vt:lpstr>BONOS</vt:lpstr>
      <vt:lpstr>HORA EXTRA</vt:lpstr>
      <vt:lpstr>COMISIONES</vt:lpstr>
      <vt:lpstr>NO IMPONIBLE</vt:lpstr>
      <vt:lpstr>PRESTAMOS</vt:lpstr>
      <vt:lpstr>ANTICIPOS</vt:lpstr>
      <vt:lpstr>DESCUENTOS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2023-09-25T17:29:48Z</dcterms:created>
  <dcterms:modified xsi:type="dcterms:W3CDTF">2023-09-25T17:41:47Z</dcterms:modified>
  <cp:category/>
</cp:coreProperties>
</file>