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210"/>
  </bookViews>
  <sheets>
    <sheet name="LIBRO" sheetId="1" r:id="rId1"/>
    <sheet name="BONOS" sheetId="2" r:id="rId2"/>
    <sheet name="HORA EXTRA" sheetId="3" r:id="rId3"/>
    <sheet name="COMISIONES" sheetId="4" r:id="rId4"/>
    <sheet name="NO IMPONIBLE" sheetId="5" r:id="rId5"/>
    <sheet name="PRESTAMOS" sheetId="6" r:id="rId6"/>
    <sheet name="ANTICIPOS" sheetId="7" r:id="rId7"/>
    <sheet name="DESCUENTOS" sheetId="8" r:id="rId8"/>
  </sheets>
  <calcPr calcId="162913"/>
</workbook>
</file>

<file path=xl/calcChain.xml><?xml version="1.0" encoding="utf-8"?>
<calcChain xmlns="http://schemas.openxmlformats.org/spreadsheetml/2006/main">
  <c r="BP4" i="1" l="1"/>
  <c r="BP5" i="1"/>
  <c r="BP6" i="1"/>
  <c r="BP7" i="1"/>
  <c r="BP8" i="1"/>
  <c r="BP9" i="1"/>
  <c r="BP10" i="1"/>
  <c r="BP11" i="1"/>
  <c r="BP12" i="1"/>
  <c r="BP13" i="1"/>
  <c r="F13" i="8"/>
  <c r="F13" i="7"/>
  <c r="F13" i="6"/>
  <c r="F13" i="5"/>
  <c r="F13" i="4"/>
  <c r="F13" i="3"/>
  <c r="G13" i="2"/>
  <c r="F13" i="2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<sst xmlns="http://schemas.openxmlformats.org/spreadsheetml/2006/main" count="489" uniqueCount="116">
  <si>
    <t>RUT</t>
  </si>
  <si>
    <t>Nombre</t>
  </si>
  <si>
    <t>Apellido Paterno</t>
  </si>
  <si>
    <t>Apellido Materno</t>
  </si>
  <si>
    <t>Centro Negocio</t>
  </si>
  <si>
    <t>Cargo</t>
  </si>
  <si>
    <t>Dias Trabajados</t>
  </si>
  <si>
    <t>Dias Licencia</t>
  </si>
  <si>
    <t>Dias Ausencia</t>
  </si>
  <si>
    <t>Dias Vacaciones</t>
  </si>
  <si>
    <t>Dias de Suspension</t>
  </si>
  <si>
    <t>Sueldo de Suspension</t>
  </si>
  <si>
    <t>Sueldo AFC de Suspension</t>
  </si>
  <si>
    <t>Sueldo Base Proporcional</t>
  </si>
  <si>
    <t>Cant Hrs Atraso</t>
  </si>
  <si>
    <t>Monto Por Atraso</t>
  </si>
  <si>
    <t>Gratificacion</t>
  </si>
  <si>
    <t>Hora Extra</t>
  </si>
  <si>
    <t>Bonos Imponibles</t>
  </si>
  <si>
    <t>Total Comisiones</t>
  </si>
  <si>
    <t>Semana Corrida</t>
  </si>
  <si>
    <t>Total Haberes Imponibles</t>
  </si>
  <si>
    <t>Movilizacion</t>
  </si>
  <si>
    <t>Colacion</t>
  </si>
  <si>
    <t>Cargas Familiares</t>
  </si>
  <si>
    <t>Bonos No Imponibles</t>
  </si>
  <si>
    <t>Total Haberes No Imponibles</t>
  </si>
  <si>
    <t>Total Haberes</t>
  </si>
  <si>
    <t>Base Imponible</t>
  </si>
  <si>
    <t>Base Tributable</t>
  </si>
  <si>
    <t>Total AFP</t>
  </si>
  <si>
    <t>Tasa AFP</t>
  </si>
  <si>
    <t>Solo AFP</t>
  </si>
  <si>
    <t>Adicional AFP</t>
  </si>
  <si>
    <t>Tasa Adicional AFP</t>
  </si>
  <si>
    <t>INP</t>
  </si>
  <si>
    <t>Trabajo Pesado Empleado</t>
  </si>
  <si>
    <t>FONASA</t>
  </si>
  <si>
    <t>ISAPRE</t>
  </si>
  <si>
    <t>Adicional Salud</t>
  </si>
  <si>
    <t>Total Salud</t>
  </si>
  <si>
    <t>AFC Empleado</t>
  </si>
  <si>
    <t>Leyes Sociales</t>
  </si>
  <si>
    <t>Impuesto Unico</t>
  </si>
  <si>
    <t>Rebaja Zona Extrema</t>
  </si>
  <si>
    <t>Cta Ahorro AFP</t>
  </si>
  <si>
    <t>APV A</t>
  </si>
  <si>
    <t>APV B</t>
  </si>
  <si>
    <t>APV C</t>
  </si>
  <si>
    <t>TOTAL APV</t>
  </si>
  <si>
    <t>Anticipos</t>
  </si>
  <si>
    <t>Otros Descuentos</t>
  </si>
  <si>
    <t>Prestamos Caja</t>
  </si>
  <si>
    <t>Prestamo Social</t>
  </si>
  <si>
    <t>Prestamos Empresa</t>
  </si>
  <si>
    <t>Total Prestamos</t>
  </si>
  <si>
    <t>Seguros Dentales</t>
  </si>
  <si>
    <t>Ahorro Caja</t>
  </si>
  <si>
    <t>Seguros de Vida</t>
  </si>
  <si>
    <t>Cobertura de Suspension Total</t>
  </si>
  <si>
    <t>Cobertura de Suspension</t>
  </si>
  <si>
    <t>Total Descuentos</t>
  </si>
  <si>
    <t>Sueldo Liquido</t>
  </si>
  <si>
    <t>AFC Empresa</t>
  </si>
  <si>
    <t>SIS</t>
  </si>
  <si>
    <t>MUTUAL</t>
  </si>
  <si>
    <t>Caja Compensacion</t>
  </si>
  <si>
    <t>24.349.134-7</t>
  </si>
  <si>
    <t>Jhonny franck</t>
  </si>
  <si>
    <t>Andrade</t>
  </si>
  <si>
    <t>Martinez</t>
  </si>
  <si>
    <t>CONSECIONARIA G21</t>
  </si>
  <si>
    <t>MAESTRO</t>
  </si>
  <si>
    <t>21.161.290-8</t>
  </si>
  <si>
    <t>IGNACIO DAMIAN</t>
  </si>
  <si>
    <t>VALENZUELA</t>
  </si>
  <si>
    <t>RODRIGUEZ</t>
  </si>
  <si>
    <t>AYUDANTE</t>
  </si>
  <si>
    <t>26.406.829-0</t>
  </si>
  <si>
    <t>Doudley</t>
  </si>
  <si>
    <t>Nelson</t>
  </si>
  <si>
    <t>AYUDANTE DE MAESTRO</t>
  </si>
  <si>
    <t>9.451.186-0</t>
  </si>
  <si>
    <t>Gustavo enrique</t>
  </si>
  <si>
    <t>Mellado</t>
  </si>
  <si>
    <t>Oses</t>
  </si>
  <si>
    <t>13.030.425-7</t>
  </si>
  <si>
    <t>Carlos antonio</t>
  </si>
  <si>
    <t>Valenzuela</t>
  </si>
  <si>
    <t>Salazar</t>
  </si>
  <si>
    <t>15.807.231-9</t>
  </si>
  <si>
    <t>Rodrigo andres</t>
  </si>
  <si>
    <t>Palma</t>
  </si>
  <si>
    <t>Arce</t>
  </si>
  <si>
    <t>JEFE DE TERRENO</t>
  </si>
  <si>
    <t>10.188.659-K</t>
  </si>
  <si>
    <t>MARIO ORLANDO</t>
  </si>
  <si>
    <t>DIAZ</t>
  </si>
  <si>
    <t>NOGUERA</t>
  </si>
  <si>
    <t>12.318.590-0</t>
  </si>
  <si>
    <t>Alessandro marcelo</t>
  </si>
  <si>
    <t>Zarate</t>
  </si>
  <si>
    <t>Leiva</t>
  </si>
  <si>
    <t>27.003.198-6</t>
  </si>
  <si>
    <t>CHAVANES</t>
  </si>
  <si>
    <t>LUCIEN</t>
  </si>
  <si>
    <t/>
  </si>
  <si>
    <t>Total</t>
  </si>
  <si>
    <t>Total Bonos</t>
  </si>
  <si>
    <t>PRODUCCION</t>
  </si>
  <si>
    <t>Total Hora Extra</t>
  </si>
  <si>
    <t>Total Bonos No Imponibles</t>
  </si>
  <si>
    <t>Total Anticipos</t>
  </si>
  <si>
    <t>Total Otros Descuentos</t>
  </si>
  <si>
    <t>Costo empresa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</si>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</sst>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69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LIBRO" displayName="LIBRO" ref="A3:BP13" totalsRowCount="1" headerRowDxfId="1">
  <tableColumns count="68">
    <tableColumn id="1" name="RUT" totalsRowLabel="Total" dataDxfId="68"/>
    <tableColumn id="2" name="Nombre" totalsRowLabel="Totales" dataDxfId="67"/>
    <tableColumn id="3" name="Apellido Paterno" dataDxfId="66"/>
    <tableColumn id="4" name="Apellido Materno" dataDxfId="65"/>
    <tableColumn id="5" name="Centro Negocio" dataDxfId="64"/>
    <tableColumn id="6" name="Cargo" totalsRowFunction="sum" dataDxfId="63"/>
    <tableColumn id="7" name="Dias Trabajados" totalsRowFunction="sum" dataDxfId="62"/>
    <tableColumn id="8" name="Dias Licencia" totalsRowFunction="sum" dataDxfId="61"/>
    <tableColumn id="9" name="Dias Ausencia" totalsRowFunction="sum" dataDxfId="60"/>
    <tableColumn id="10" name="Dias Vacaciones" totalsRowFunction="sum" dataDxfId="59"/>
    <tableColumn id="11" name="Dias de Suspension" totalsRowFunction="sum" dataDxfId="58"/>
    <tableColumn id="12" name="Sueldo de Suspension" totalsRowFunction="sum" dataDxfId="57"/>
    <tableColumn id="13" name="Sueldo AFC de Suspension" totalsRowFunction="sum" dataDxfId="56"/>
    <tableColumn id="14" name="Sueldo Base Proporcional" totalsRowFunction="sum" dataDxfId="55"/>
    <tableColumn id="15" name="Cant Hrs Atraso" totalsRowFunction="sum" dataDxfId="54"/>
    <tableColumn id="16" name="Monto Por Atraso" totalsRowFunction="sum" dataDxfId="53"/>
    <tableColumn id="17" name="Gratificacion" totalsRowFunction="sum" dataDxfId="52"/>
    <tableColumn id="18" name="Hora Extra" totalsRowFunction="sum" dataDxfId="51"/>
    <tableColumn id="19" name="Bonos Imponibles" totalsRowFunction="sum" dataDxfId="50"/>
    <tableColumn id="20" name="Total Comisiones" totalsRowFunction="sum" dataDxfId="49"/>
    <tableColumn id="21" name="Semana Corrida" totalsRowFunction="sum" dataDxfId="48"/>
    <tableColumn id="22" name="Total Haberes Imponibles" totalsRowFunction="sum" dataDxfId="47"/>
    <tableColumn id="23" name="Movilizacion" totalsRowFunction="sum" dataDxfId="46"/>
    <tableColumn id="24" name="Colacion" totalsRowFunction="sum" dataDxfId="45"/>
    <tableColumn id="25" name="Cargas Familiares" totalsRowFunction="sum" dataDxfId="44"/>
    <tableColumn id="26" name="Bonos No Imponibles" totalsRowFunction="sum" dataDxfId="43"/>
    <tableColumn id="27" name="Total Haberes No Imponibles" totalsRowFunction="sum" dataDxfId="42"/>
    <tableColumn id="28" name="Total Haberes" totalsRowFunction="sum" dataDxfId="41"/>
    <tableColumn id="29" name="Base Imponible" totalsRowFunction="sum" dataDxfId="40"/>
    <tableColumn id="30" name="Base Tributable" totalsRowFunction="sum" dataDxfId="39"/>
    <tableColumn id="31" name="Total AFP" totalsRowFunction="sum" dataDxfId="38"/>
    <tableColumn id="32" name="Tasa AFP" totalsRowFunction="sum" dataDxfId="37"/>
    <tableColumn id="33" name="Solo AFP" totalsRowFunction="sum" dataDxfId="36"/>
    <tableColumn id="34" name="Adicional AFP" totalsRowFunction="sum" dataDxfId="35"/>
    <tableColumn id="35" name="Tasa Adicional AFP" totalsRowFunction="sum" dataDxfId="34"/>
    <tableColumn id="36" name="INP" totalsRowFunction="sum" dataDxfId="33"/>
    <tableColumn id="37" name="Trabajo Pesado Empleado" totalsRowFunction="sum" dataDxfId="32"/>
    <tableColumn id="38" name="FONASA" totalsRowFunction="sum" dataDxfId="31"/>
    <tableColumn id="39" name="ISAPRE" totalsRowFunction="sum" dataDxfId="30"/>
    <tableColumn id="40" name="Adicional Salud" totalsRowFunction="sum" dataDxfId="29"/>
    <tableColumn id="41" name="Total Salud" totalsRowFunction="sum" dataDxfId="28"/>
    <tableColumn id="42" name="AFC Empleado" totalsRowFunction="sum" dataDxfId="27"/>
    <tableColumn id="43" name="Leyes Sociales" totalsRowFunction="sum" dataDxfId="26"/>
    <tableColumn id="44" name="Impuesto Unico" totalsRowFunction="sum" dataDxfId="25"/>
    <tableColumn id="45" name="Rebaja Zona Extrema" totalsRowFunction="sum" dataDxfId="24"/>
    <tableColumn id="46" name="Cta Ahorro AFP" totalsRowFunction="sum" dataDxfId="23"/>
    <tableColumn id="47" name="APV A" totalsRowFunction="sum" dataDxfId="22"/>
    <tableColumn id="48" name="APV B" totalsRowFunction="sum" dataDxfId="21"/>
    <tableColumn id="49" name="APV C" totalsRowFunction="sum" dataDxfId="20"/>
    <tableColumn id="50" name="TOTAL APV" totalsRowFunction="sum" dataDxfId="19"/>
    <tableColumn id="51" name="Anticipos" totalsRowFunction="sum" dataDxfId="18"/>
    <tableColumn id="52" name="Otros Descuentos" totalsRowFunction="sum" dataDxfId="17"/>
    <tableColumn id="53" name="Prestamos Caja" totalsRowFunction="sum" dataDxfId="16"/>
    <tableColumn id="54" name="Prestamo Social" totalsRowFunction="sum" dataDxfId="15"/>
    <tableColumn id="55" name="Prestamos Empresa" totalsRowFunction="sum" dataDxfId="14"/>
    <tableColumn id="56" name="Total Prestamos" totalsRowFunction="sum" dataDxfId="13"/>
    <tableColumn id="57" name="Seguros Dentales" totalsRowFunction="sum" dataDxfId="12"/>
    <tableColumn id="58" name="Ahorro Caja" totalsRowFunction="sum" dataDxfId="11"/>
    <tableColumn id="59" name="Seguros de Vida" totalsRowFunction="sum" dataDxfId="10"/>
    <tableColumn id="60" name="Cobertura de Suspension Total" totalsRowFunction="sum" dataDxfId="9"/>
    <tableColumn id="61" name="Cobertura de Suspension" totalsRowFunction="sum" dataDxfId="8"/>
    <tableColumn id="62" name="Total Descuentos" totalsRowFunction="sum" dataDxfId="7"/>
    <tableColumn id="63" name="Sueldo Liquido" totalsRowFunction="sum" dataDxfId="6"/>
    <tableColumn id="64" name="AFC Empresa" totalsRowFunction="sum" dataDxfId="5"/>
    <tableColumn id="65" name="SIS" totalsRowFunction="sum" dataDxfId="4"/>
    <tableColumn id="66" name="MUTUAL" totalsRowFunction="sum" dataDxfId="3"/>
    <tableColumn id="67" name="Caja Compensacion" totalsRowFunction="sum" dataDxfId="2"/>
    <tableColumn id="68" name="Costo empresa" totalsRowFunction="custom" dataDxfId="0">
      <calculatedColumnFormula>SUM(AB4,BL4:BN4)</calculatedColumnFormula>
      <totalsRowFormula>LIBRO[[#Totals],[AFC Empresa]]+LIBRO[[#Totals],[SIS]]+LIBRO[[#Totals],[MUTUAL]]+LIBRO[[#Totals],[Total Haberes]]</totalsRow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BONOS" displayName="BONOS" ref="A3:G13" totalsRowCount="1">
  <autoFilter ref="A3:G12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" totalsRowFunction="sum"/>
    <tableColumn id="7" name="PRODUCCION" totalsRowFunction="sum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3" name="HORAEXTRA" displayName="HORAEXTRA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Hora Extra" totalsRowFunction="sum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4" name="COMISIONES" displayName="COMISIONE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Comisiones" totalsRowFunction="sum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5" name="NOIMPONIBLE" displayName="NOIMPONIBLE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 No Imponibles" totalsRowFunction="sum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6" name="PRESTAMOS" displayName="PRESTAMO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Prestamos" totalsRowFunction="sum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7" name="ANTICIPOS" displayName="ANTICIPO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Anticipos" totalsRowFunction="sum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8" name="DESCUENTOS" displayName="DESCUENTO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Otros Descuentos" totalsRowFunction="sum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P13"/>
  <sheetViews>
    <sheetView tabSelected="1" workbookViewId="0">
      <selection activeCell="J18" sqref="J18"/>
    </sheetView>
  </sheetViews>
  <sheetFormatPr baseColWidth="10" defaultColWidth="9.140625" defaultRowHeight="15" x14ac:dyDescent="0.25"/>
  <cols>
    <col min="67" max="67" width="18.28515625" bestFit="1" customWidth="1"/>
    <col min="68" max="68" width="16.42578125" bestFit="1" customWidth="1"/>
  </cols>
  <sheetData>
    <row r="3" spans="1:6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2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AY3" s="1" t="s">
        <v>50</v>
      </c>
      <c r="AZ3" s="1" t="s">
        <v>51</v>
      </c>
      <c r="BA3" s="1" t="s">
        <v>52</v>
      </c>
      <c r="BB3" s="1" t="s">
        <v>53</v>
      </c>
      <c r="BC3" s="1" t="s">
        <v>54</v>
      </c>
      <c r="BD3" s="1" t="s">
        <v>55</v>
      </c>
      <c r="BE3" s="1" t="s">
        <v>56</v>
      </c>
      <c r="BF3" s="1" t="s">
        <v>57</v>
      </c>
      <c r="BG3" s="1" t="s">
        <v>58</v>
      </c>
      <c r="BH3" s="1" t="s">
        <v>59</v>
      </c>
      <c r="BI3" s="1" t="s">
        <v>60</v>
      </c>
      <c r="BJ3" s="1" t="s">
        <v>61</v>
      </c>
      <c r="BK3" s="1" t="s">
        <v>62</v>
      </c>
      <c r="BL3" s="1" t="s">
        <v>63</v>
      </c>
      <c r="BM3" s="1" t="s">
        <v>64</v>
      </c>
      <c r="BN3" s="1" t="s">
        <v>65</v>
      </c>
      <c r="BO3" s="1" t="s">
        <v>66</v>
      </c>
      <c r="BP3" s="1" t="s">
        <v>114</v>
      </c>
    </row>
    <row r="4" spans="1:68" x14ac:dyDescent="0.25">
      <c r="A4" s="1" t="s">
        <v>67</v>
      </c>
      <c r="B4" s="1" t="s">
        <v>68</v>
      </c>
      <c r="C4" s="1" t="s">
        <v>69</v>
      </c>
      <c r="D4" s="1" t="s">
        <v>70</v>
      </c>
      <c r="E4" s="1" t="s">
        <v>71</v>
      </c>
      <c r="F4" s="1" t="s">
        <v>72</v>
      </c>
      <c r="G4" s="1">
        <v>30</v>
      </c>
      <c r="H4" s="1">
        <v>0</v>
      </c>
      <c r="I4" s="1">
        <v>0</v>
      </c>
      <c r="J4" s="1">
        <v>0</v>
      </c>
      <c r="K4" s="1">
        <v>0</v>
      </c>
      <c r="L4" s="1"/>
      <c r="M4" s="1"/>
      <c r="N4" s="1">
        <v>493000</v>
      </c>
      <c r="O4" s="1">
        <v>0</v>
      </c>
      <c r="P4" s="1">
        <v>0</v>
      </c>
      <c r="Q4" s="1">
        <v>123250</v>
      </c>
      <c r="R4" s="1">
        <v>0</v>
      </c>
      <c r="S4" s="1">
        <v>264000</v>
      </c>
      <c r="T4" s="1">
        <v>0</v>
      </c>
      <c r="U4" s="1">
        <v>0</v>
      </c>
      <c r="V4" s="1">
        <v>880250</v>
      </c>
      <c r="W4" s="1">
        <v>50000</v>
      </c>
      <c r="X4" s="1">
        <v>50000</v>
      </c>
      <c r="Y4" s="1">
        <v>0</v>
      </c>
      <c r="Z4" s="1">
        <v>0</v>
      </c>
      <c r="AA4" s="1">
        <v>100000</v>
      </c>
      <c r="AB4" s="1">
        <v>980250</v>
      </c>
      <c r="AC4" s="1">
        <v>880250</v>
      </c>
      <c r="AD4" s="1">
        <v>719251</v>
      </c>
      <c r="AE4" s="1">
        <v>94099</v>
      </c>
      <c r="AF4" s="1">
        <v>10.69</v>
      </c>
      <c r="AG4" s="1"/>
      <c r="AH4" s="1"/>
      <c r="AI4" s="1"/>
      <c r="AJ4" s="1">
        <v>0</v>
      </c>
      <c r="AK4" s="1">
        <v>0</v>
      </c>
      <c r="AL4" s="1">
        <v>61618</v>
      </c>
      <c r="AM4" s="1">
        <v>0</v>
      </c>
      <c r="AN4" s="1">
        <v>0</v>
      </c>
      <c r="AO4" s="1">
        <v>61618</v>
      </c>
      <c r="AP4" s="1">
        <v>5282</v>
      </c>
      <c r="AQ4" s="1">
        <v>160999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160999</v>
      </c>
      <c r="BK4" s="1">
        <v>819251</v>
      </c>
      <c r="BL4" s="1">
        <v>21126</v>
      </c>
      <c r="BM4" s="1">
        <v>16549</v>
      </c>
      <c r="BN4" s="1">
        <v>30369</v>
      </c>
      <c r="BO4" s="1"/>
      <c r="BP4" s="1">
        <f t="shared" ref="BP4:BP12" si="0">SUM(AB4,BL4:BN4)</f>
        <v>1048294</v>
      </c>
    </row>
    <row r="5" spans="1:68" x14ac:dyDescent="0.25">
      <c r="A5" s="1" t="s">
        <v>73</v>
      </c>
      <c r="B5" s="1" t="s">
        <v>74</v>
      </c>
      <c r="C5" s="1" t="s">
        <v>75</v>
      </c>
      <c r="D5" s="1" t="s">
        <v>76</v>
      </c>
      <c r="E5" s="1" t="s">
        <v>71</v>
      </c>
      <c r="F5" s="1" t="s">
        <v>77</v>
      </c>
      <c r="G5" s="1">
        <v>30</v>
      </c>
      <c r="H5" s="1">
        <v>0</v>
      </c>
      <c r="I5" s="1">
        <v>0</v>
      </c>
      <c r="J5" s="1">
        <v>0</v>
      </c>
      <c r="K5" s="1">
        <v>0</v>
      </c>
      <c r="L5" s="1"/>
      <c r="M5" s="1"/>
      <c r="N5" s="1">
        <v>495025</v>
      </c>
      <c r="O5" s="1">
        <v>0</v>
      </c>
      <c r="P5" s="1">
        <v>0</v>
      </c>
      <c r="Q5" s="1">
        <v>123756</v>
      </c>
      <c r="R5" s="1">
        <v>0</v>
      </c>
      <c r="S5" s="1">
        <v>121200</v>
      </c>
      <c r="T5" s="1">
        <v>0</v>
      </c>
      <c r="U5" s="1">
        <v>0</v>
      </c>
      <c r="V5" s="1">
        <v>739981</v>
      </c>
      <c r="W5" s="1">
        <v>20000</v>
      </c>
      <c r="X5" s="1">
        <v>20000</v>
      </c>
      <c r="Y5" s="1">
        <v>0</v>
      </c>
      <c r="Z5" s="1">
        <v>0</v>
      </c>
      <c r="AA5" s="1">
        <v>40000</v>
      </c>
      <c r="AB5" s="1">
        <v>779981</v>
      </c>
      <c r="AC5" s="1">
        <v>739981</v>
      </c>
      <c r="AD5" s="1">
        <v>605452</v>
      </c>
      <c r="AE5" s="1">
        <v>78290</v>
      </c>
      <c r="AF5" s="1">
        <v>10.58</v>
      </c>
      <c r="AG5" s="1"/>
      <c r="AH5" s="1"/>
      <c r="AI5" s="1"/>
      <c r="AJ5" s="1">
        <v>0</v>
      </c>
      <c r="AK5" s="1">
        <v>0</v>
      </c>
      <c r="AL5" s="1">
        <v>51799</v>
      </c>
      <c r="AM5" s="1">
        <v>0</v>
      </c>
      <c r="AN5" s="1">
        <v>0</v>
      </c>
      <c r="AO5" s="1">
        <v>51799</v>
      </c>
      <c r="AP5" s="1">
        <v>4440</v>
      </c>
      <c r="AQ5" s="1">
        <v>134529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134529</v>
      </c>
      <c r="BK5" s="1">
        <v>645452</v>
      </c>
      <c r="BL5" s="1">
        <v>17760</v>
      </c>
      <c r="BM5" s="1">
        <v>13912</v>
      </c>
      <c r="BN5" s="1">
        <v>25529</v>
      </c>
      <c r="BO5" s="1">
        <v>0</v>
      </c>
      <c r="BP5" s="1">
        <f t="shared" si="0"/>
        <v>837182</v>
      </c>
    </row>
    <row r="6" spans="1:68" x14ac:dyDescent="0.25">
      <c r="A6" s="1" t="s">
        <v>78</v>
      </c>
      <c r="B6" s="1" t="s">
        <v>79</v>
      </c>
      <c r="C6" s="1" t="s">
        <v>80</v>
      </c>
      <c r="D6" s="1" t="s">
        <v>80</v>
      </c>
      <c r="E6" s="1" t="s">
        <v>71</v>
      </c>
      <c r="F6" s="1" t="s">
        <v>81</v>
      </c>
      <c r="G6" s="1">
        <v>30</v>
      </c>
      <c r="H6" s="1">
        <v>0</v>
      </c>
      <c r="I6" s="1">
        <v>0</v>
      </c>
      <c r="J6" s="1">
        <v>0</v>
      </c>
      <c r="K6" s="1">
        <v>0</v>
      </c>
      <c r="L6" s="1"/>
      <c r="M6" s="1"/>
      <c r="N6" s="1">
        <v>600000</v>
      </c>
      <c r="O6" s="1">
        <v>0</v>
      </c>
      <c r="P6" s="1">
        <v>0</v>
      </c>
      <c r="Q6" s="1">
        <v>150000</v>
      </c>
      <c r="R6" s="1">
        <v>0</v>
      </c>
      <c r="S6" s="1">
        <v>158400</v>
      </c>
      <c r="T6" s="1">
        <v>0</v>
      </c>
      <c r="U6" s="1">
        <v>0</v>
      </c>
      <c r="V6" s="1">
        <v>908400</v>
      </c>
      <c r="W6" s="1">
        <v>10000</v>
      </c>
      <c r="X6" s="1">
        <v>10000</v>
      </c>
      <c r="Y6" s="1">
        <v>0</v>
      </c>
      <c r="Z6" s="1">
        <v>0</v>
      </c>
      <c r="AA6" s="1">
        <v>20000</v>
      </c>
      <c r="AB6" s="1">
        <v>928400</v>
      </c>
      <c r="AC6" s="1">
        <v>908400</v>
      </c>
      <c r="AD6" s="1">
        <v>737985</v>
      </c>
      <c r="AE6" s="1">
        <v>101377</v>
      </c>
      <c r="AF6" s="1">
        <v>11.16</v>
      </c>
      <c r="AG6" s="1"/>
      <c r="AH6" s="1"/>
      <c r="AI6" s="1"/>
      <c r="AJ6" s="1">
        <v>0</v>
      </c>
      <c r="AK6" s="1">
        <v>0</v>
      </c>
      <c r="AL6" s="1">
        <v>63588</v>
      </c>
      <c r="AM6" s="1">
        <v>0</v>
      </c>
      <c r="AN6" s="1">
        <v>0</v>
      </c>
      <c r="AO6" s="1">
        <v>63588</v>
      </c>
      <c r="AP6" s="1">
        <v>5450</v>
      </c>
      <c r="AQ6" s="1">
        <v>170415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170415</v>
      </c>
      <c r="BK6" s="1">
        <v>757985</v>
      </c>
      <c r="BL6" s="1">
        <v>21802</v>
      </c>
      <c r="BM6" s="1">
        <v>17078</v>
      </c>
      <c r="BN6" s="1">
        <v>31340</v>
      </c>
      <c r="BO6" s="1">
        <v>0</v>
      </c>
      <c r="BP6" s="1">
        <f t="shared" si="0"/>
        <v>998620</v>
      </c>
    </row>
    <row r="7" spans="1:68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71</v>
      </c>
      <c r="F7" s="1" t="s">
        <v>72</v>
      </c>
      <c r="G7" s="1">
        <v>30</v>
      </c>
      <c r="H7" s="1">
        <v>0</v>
      </c>
      <c r="I7" s="1">
        <v>0</v>
      </c>
      <c r="J7" s="1">
        <v>5</v>
      </c>
      <c r="K7" s="1">
        <v>0</v>
      </c>
      <c r="L7" s="1"/>
      <c r="M7" s="1"/>
      <c r="N7" s="1">
        <v>450000</v>
      </c>
      <c r="O7" s="1">
        <v>0</v>
      </c>
      <c r="P7" s="1">
        <v>0</v>
      </c>
      <c r="Q7" s="1">
        <v>112500</v>
      </c>
      <c r="R7" s="1">
        <v>0</v>
      </c>
      <c r="S7" s="1">
        <v>244800</v>
      </c>
      <c r="T7" s="1">
        <v>0</v>
      </c>
      <c r="U7" s="1">
        <v>0</v>
      </c>
      <c r="V7" s="1">
        <v>807300</v>
      </c>
      <c r="W7" s="1">
        <v>75000</v>
      </c>
      <c r="X7" s="1">
        <v>75000</v>
      </c>
      <c r="Y7" s="1">
        <v>0</v>
      </c>
      <c r="Z7" s="1">
        <v>0</v>
      </c>
      <c r="AA7" s="1">
        <v>150000</v>
      </c>
      <c r="AB7" s="1">
        <v>957300</v>
      </c>
      <c r="AC7" s="1">
        <v>807300</v>
      </c>
      <c r="AD7" s="1">
        <v>654962</v>
      </c>
      <c r="AE7" s="1">
        <v>90983</v>
      </c>
      <c r="AF7" s="1">
        <v>11.27</v>
      </c>
      <c r="AG7" s="1"/>
      <c r="AH7" s="1"/>
      <c r="AI7" s="1"/>
      <c r="AJ7" s="1">
        <v>0</v>
      </c>
      <c r="AK7" s="1">
        <v>0</v>
      </c>
      <c r="AL7" s="1">
        <v>56511</v>
      </c>
      <c r="AM7" s="1">
        <v>0</v>
      </c>
      <c r="AN7" s="1">
        <v>0</v>
      </c>
      <c r="AO7" s="1">
        <v>56511</v>
      </c>
      <c r="AP7" s="1">
        <v>4844</v>
      </c>
      <c r="AQ7" s="1">
        <v>152338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152338</v>
      </c>
      <c r="BK7" s="1">
        <v>804962</v>
      </c>
      <c r="BL7" s="1">
        <v>19375</v>
      </c>
      <c r="BM7" s="1">
        <v>15177</v>
      </c>
      <c r="BN7" s="1">
        <v>27852</v>
      </c>
      <c r="BO7" s="1">
        <v>0</v>
      </c>
      <c r="BP7" s="1">
        <f t="shared" si="0"/>
        <v>1019704</v>
      </c>
    </row>
    <row r="8" spans="1:68" x14ac:dyDescent="0.25">
      <c r="A8" s="1" t="s">
        <v>86</v>
      </c>
      <c r="B8" s="1" t="s">
        <v>87</v>
      </c>
      <c r="C8" s="1" t="s">
        <v>88</v>
      </c>
      <c r="D8" s="1" t="s">
        <v>89</v>
      </c>
      <c r="E8" s="1" t="s">
        <v>71</v>
      </c>
      <c r="F8" s="1" t="s">
        <v>77</v>
      </c>
      <c r="G8" s="1">
        <v>30</v>
      </c>
      <c r="H8" s="1">
        <v>0</v>
      </c>
      <c r="I8" s="1">
        <v>0</v>
      </c>
      <c r="J8" s="1">
        <v>0</v>
      </c>
      <c r="K8" s="1">
        <v>0</v>
      </c>
      <c r="L8" s="1"/>
      <c r="M8" s="1"/>
      <c r="N8" s="1">
        <v>624500</v>
      </c>
      <c r="O8" s="1">
        <v>0</v>
      </c>
      <c r="P8" s="1">
        <v>0</v>
      </c>
      <c r="Q8" s="1">
        <v>156125</v>
      </c>
      <c r="R8" s="1">
        <v>0</v>
      </c>
      <c r="S8" s="1">
        <v>304800</v>
      </c>
      <c r="T8" s="1">
        <v>0</v>
      </c>
      <c r="U8" s="1">
        <v>0</v>
      </c>
      <c r="V8" s="1">
        <v>1085425</v>
      </c>
      <c r="W8" s="1">
        <v>10000</v>
      </c>
      <c r="X8" s="1">
        <v>10000</v>
      </c>
      <c r="Y8" s="1">
        <v>0</v>
      </c>
      <c r="Z8" s="1">
        <v>0</v>
      </c>
      <c r="AA8" s="1">
        <v>20000</v>
      </c>
      <c r="AB8" s="1">
        <v>1105425</v>
      </c>
      <c r="AC8" s="1">
        <v>1085425</v>
      </c>
      <c r="AD8" s="1">
        <v>799007</v>
      </c>
      <c r="AE8" s="1">
        <v>124173</v>
      </c>
      <c r="AF8" s="1">
        <v>11.44</v>
      </c>
      <c r="AG8" s="1"/>
      <c r="AH8" s="1"/>
      <c r="AI8" s="1"/>
      <c r="AJ8" s="1">
        <v>0</v>
      </c>
      <c r="AK8" s="1">
        <v>0</v>
      </c>
      <c r="AL8" s="1">
        <v>0</v>
      </c>
      <c r="AM8" s="1">
        <v>75980</v>
      </c>
      <c r="AN8" s="1">
        <v>79752</v>
      </c>
      <c r="AO8" s="1">
        <v>155732</v>
      </c>
      <c r="AP8" s="1">
        <v>6513</v>
      </c>
      <c r="AQ8" s="1">
        <v>286418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286418</v>
      </c>
      <c r="BK8" s="1">
        <v>819007</v>
      </c>
      <c r="BL8" s="1">
        <v>26050</v>
      </c>
      <c r="BM8" s="1">
        <v>20406</v>
      </c>
      <c r="BN8" s="1">
        <v>37447</v>
      </c>
      <c r="BO8" s="1">
        <v>0</v>
      </c>
      <c r="BP8" s="1">
        <f t="shared" si="0"/>
        <v>1189328</v>
      </c>
    </row>
    <row r="9" spans="1:68" x14ac:dyDescent="0.25">
      <c r="A9" s="1" t="s">
        <v>90</v>
      </c>
      <c r="B9" s="1" t="s">
        <v>91</v>
      </c>
      <c r="C9" s="1" t="s">
        <v>92</v>
      </c>
      <c r="D9" s="1" t="s">
        <v>93</v>
      </c>
      <c r="E9" s="1" t="s">
        <v>71</v>
      </c>
      <c r="F9" s="1" t="s">
        <v>94</v>
      </c>
      <c r="G9" s="1">
        <v>30</v>
      </c>
      <c r="H9" s="1">
        <v>0</v>
      </c>
      <c r="I9" s="1">
        <v>0</v>
      </c>
      <c r="J9" s="1">
        <v>0</v>
      </c>
      <c r="K9" s="1">
        <v>0</v>
      </c>
      <c r="L9" s="1"/>
      <c r="M9" s="1"/>
      <c r="N9" s="1">
        <v>1175000</v>
      </c>
      <c r="O9" s="1">
        <v>0</v>
      </c>
      <c r="P9" s="1">
        <v>0</v>
      </c>
      <c r="Q9" s="1">
        <v>174167</v>
      </c>
      <c r="R9" s="1">
        <v>0</v>
      </c>
      <c r="S9" s="1">
        <v>885600</v>
      </c>
      <c r="T9" s="1">
        <v>0</v>
      </c>
      <c r="U9" s="1">
        <v>0</v>
      </c>
      <c r="V9" s="1">
        <v>2234767</v>
      </c>
      <c r="W9" s="1">
        <v>124000</v>
      </c>
      <c r="X9" s="1">
        <v>100000</v>
      </c>
      <c r="Y9" s="1">
        <v>0</v>
      </c>
      <c r="Z9" s="1">
        <v>0</v>
      </c>
      <c r="AA9" s="1">
        <v>224000</v>
      </c>
      <c r="AB9" s="1">
        <v>2458767</v>
      </c>
      <c r="AC9" s="1">
        <v>2234767</v>
      </c>
      <c r="AD9" s="1">
        <v>1809043</v>
      </c>
      <c r="AE9" s="1">
        <v>255881</v>
      </c>
      <c r="AF9" s="1">
        <v>11.45</v>
      </c>
      <c r="AG9" s="1"/>
      <c r="AH9" s="1"/>
      <c r="AI9" s="1"/>
      <c r="AJ9" s="1">
        <v>0</v>
      </c>
      <c r="AK9" s="1">
        <v>0</v>
      </c>
      <c r="AL9" s="1">
        <v>156434</v>
      </c>
      <c r="AM9" s="1">
        <v>0</v>
      </c>
      <c r="AN9" s="1">
        <v>0</v>
      </c>
      <c r="AO9" s="1">
        <v>156434</v>
      </c>
      <c r="AP9" s="1">
        <v>13409</v>
      </c>
      <c r="AQ9" s="1">
        <v>425724</v>
      </c>
      <c r="AR9" s="1">
        <v>38166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463890</v>
      </c>
      <c r="BK9" s="1">
        <v>1994877</v>
      </c>
      <c r="BL9" s="1">
        <v>53634</v>
      </c>
      <c r="BM9" s="1">
        <v>42014</v>
      </c>
      <c r="BN9" s="1">
        <v>77099</v>
      </c>
      <c r="BO9" s="1">
        <v>0</v>
      </c>
      <c r="BP9" s="1">
        <f t="shared" si="0"/>
        <v>2631514</v>
      </c>
    </row>
    <row r="10" spans="1:68" x14ac:dyDescent="0.25">
      <c r="A10" s="1" t="s">
        <v>95</v>
      </c>
      <c r="B10" s="1" t="s">
        <v>96</v>
      </c>
      <c r="C10" s="1" t="s">
        <v>97</v>
      </c>
      <c r="D10" s="1" t="s">
        <v>98</v>
      </c>
      <c r="E10" s="1" t="s">
        <v>71</v>
      </c>
      <c r="F10" s="1" t="s">
        <v>72</v>
      </c>
      <c r="G10" s="1">
        <v>30</v>
      </c>
      <c r="H10" s="1">
        <v>0</v>
      </c>
      <c r="I10" s="1">
        <v>0</v>
      </c>
      <c r="J10" s="1">
        <v>0</v>
      </c>
      <c r="K10" s="1">
        <v>0</v>
      </c>
      <c r="L10" s="1"/>
      <c r="M10" s="1"/>
      <c r="N10" s="1">
        <v>490436</v>
      </c>
      <c r="O10" s="1">
        <v>0</v>
      </c>
      <c r="P10" s="1">
        <v>0</v>
      </c>
      <c r="Q10" s="1">
        <v>122609</v>
      </c>
      <c r="R10" s="1">
        <v>0</v>
      </c>
      <c r="S10" s="1">
        <v>51600</v>
      </c>
      <c r="T10" s="1">
        <v>0</v>
      </c>
      <c r="U10" s="1">
        <v>0</v>
      </c>
      <c r="V10" s="1">
        <v>664645</v>
      </c>
      <c r="W10" s="1">
        <v>50000</v>
      </c>
      <c r="X10" s="1">
        <v>50000</v>
      </c>
      <c r="Y10" s="1">
        <v>0</v>
      </c>
      <c r="Z10" s="1">
        <v>0</v>
      </c>
      <c r="AA10" s="1">
        <v>100000</v>
      </c>
      <c r="AB10" s="1">
        <v>764645</v>
      </c>
      <c r="AC10" s="1">
        <v>664645</v>
      </c>
      <c r="AD10" s="1">
        <v>538097</v>
      </c>
      <c r="AE10" s="1">
        <v>76035</v>
      </c>
      <c r="AF10" s="1">
        <v>11.44</v>
      </c>
      <c r="AG10" s="1"/>
      <c r="AH10" s="1"/>
      <c r="AI10" s="1"/>
      <c r="AJ10" s="1">
        <v>0</v>
      </c>
      <c r="AK10" s="1">
        <v>0</v>
      </c>
      <c r="AL10" s="1">
        <v>46525</v>
      </c>
      <c r="AM10" s="1">
        <v>0</v>
      </c>
      <c r="AN10" s="1">
        <v>0</v>
      </c>
      <c r="AO10" s="1">
        <v>46525</v>
      </c>
      <c r="AP10" s="1">
        <v>3988</v>
      </c>
      <c r="AQ10" s="1">
        <v>126548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126548</v>
      </c>
      <c r="BK10" s="1">
        <v>638097</v>
      </c>
      <c r="BL10" s="1">
        <v>15951</v>
      </c>
      <c r="BM10" s="1">
        <v>12495</v>
      </c>
      <c r="BN10" s="1">
        <v>22930</v>
      </c>
      <c r="BO10" s="1">
        <v>0</v>
      </c>
      <c r="BP10" s="1">
        <f t="shared" si="0"/>
        <v>816021</v>
      </c>
    </row>
    <row r="11" spans="1:68" x14ac:dyDescent="0.25">
      <c r="A11" s="1" t="s">
        <v>99</v>
      </c>
      <c r="B11" s="1" t="s">
        <v>100</v>
      </c>
      <c r="C11" s="1" t="s">
        <v>101</v>
      </c>
      <c r="D11" s="1" t="s">
        <v>102</v>
      </c>
      <c r="E11" s="1" t="s">
        <v>71</v>
      </c>
      <c r="F11" s="1" t="s">
        <v>72</v>
      </c>
      <c r="G11" s="1">
        <v>30</v>
      </c>
      <c r="H11" s="1">
        <v>0</v>
      </c>
      <c r="I11" s="1">
        <v>0</v>
      </c>
      <c r="J11" s="1">
        <v>1</v>
      </c>
      <c r="K11" s="1">
        <v>0</v>
      </c>
      <c r="L11" s="1"/>
      <c r="M11" s="1"/>
      <c r="N11" s="1">
        <v>493000</v>
      </c>
      <c r="O11" s="1">
        <v>0</v>
      </c>
      <c r="P11" s="1">
        <v>0</v>
      </c>
      <c r="Q11" s="1">
        <v>123250</v>
      </c>
      <c r="R11" s="1">
        <v>0</v>
      </c>
      <c r="S11" s="1">
        <v>195600</v>
      </c>
      <c r="T11" s="1">
        <v>0</v>
      </c>
      <c r="U11" s="1">
        <v>0</v>
      </c>
      <c r="V11" s="1">
        <v>811850</v>
      </c>
      <c r="W11" s="1">
        <v>50000</v>
      </c>
      <c r="X11" s="1">
        <v>50000</v>
      </c>
      <c r="Y11" s="1">
        <v>0</v>
      </c>
      <c r="Z11" s="1">
        <v>0</v>
      </c>
      <c r="AA11" s="1">
        <v>100000</v>
      </c>
      <c r="AB11" s="1">
        <v>911850</v>
      </c>
      <c r="AC11" s="1">
        <v>811850</v>
      </c>
      <c r="AD11" s="1">
        <v>658654</v>
      </c>
      <c r="AE11" s="1">
        <v>91495</v>
      </c>
      <c r="AF11" s="1">
        <v>11.27</v>
      </c>
      <c r="AG11" s="1"/>
      <c r="AH11" s="1"/>
      <c r="AI11" s="1"/>
      <c r="AJ11" s="1">
        <v>0</v>
      </c>
      <c r="AK11" s="1">
        <v>0</v>
      </c>
      <c r="AL11" s="1">
        <v>56830</v>
      </c>
      <c r="AM11" s="1">
        <v>0</v>
      </c>
      <c r="AN11" s="1">
        <v>0</v>
      </c>
      <c r="AO11" s="1">
        <v>56830</v>
      </c>
      <c r="AP11" s="1">
        <v>4871</v>
      </c>
      <c r="AQ11" s="1">
        <v>153196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153196</v>
      </c>
      <c r="BK11" s="1">
        <v>758654</v>
      </c>
      <c r="BL11" s="1">
        <v>19484</v>
      </c>
      <c r="BM11" s="1">
        <v>15263</v>
      </c>
      <c r="BN11" s="1">
        <v>28009</v>
      </c>
      <c r="BO11" s="1">
        <v>0</v>
      </c>
      <c r="BP11" s="1">
        <f t="shared" si="0"/>
        <v>974606</v>
      </c>
    </row>
    <row r="12" spans="1:68" x14ac:dyDescent="0.25">
      <c r="A12" s="1" t="s">
        <v>103</v>
      </c>
      <c r="B12" s="1" t="s">
        <v>104</v>
      </c>
      <c r="C12" s="1" t="s">
        <v>105</v>
      </c>
      <c r="D12" s="1" t="s">
        <v>106</v>
      </c>
      <c r="E12" s="1" t="s">
        <v>71</v>
      </c>
      <c r="F12" s="1" t="s">
        <v>72</v>
      </c>
      <c r="G12" s="1">
        <v>30</v>
      </c>
      <c r="H12" s="1">
        <v>0</v>
      </c>
      <c r="I12" s="1">
        <v>0</v>
      </c>
      <c r="J12" s="1">
        <v>0</v>
      </c>
      <c r="K12" s="1">
        <v>0</v>
      </c>
      <c r="L12" s="1"/>
      <c r="M12" s="1"/>
      <c r="N12" s="1">
        <v>488758</v>
      </c>
      <c r="O12" s="1">
        <v>0</v>
      </c>
      <c r="P12" s="1">
        <v>0</v>
      </c>
      <c r="Q12" s="1">
        <v>122190</v>
      </c>
      <c r="R12" s="1">
        <v>0</v>
      </c>
      <c r="S12" s="1">
        <v>178800</v>
      </c>
      <c r="T12" s="1">
        <v>0</v>
      </c>
      <c r="U12" s="1">
        <v>0</v>
      </c>
      <c r="V12" s="1">
        <v>789748</v>
      </c>
      <c r="W12" s="1">
        <v>50000</v>
      </c>
      <c r="X12" s="1">
        <v>50000</v>
      </c>
      <c r="Y12" s="1">
        <v>0</v>
      </c>
      <c r="Z12" s="1">
        <v>0</v>
      </c>
      <c r="AA12" s="1">
        <v>100000</v>
      </c>
      <c r="AB12" s="1">
        <v>889748</v>
      </c>
      <c r="AC12" s="1">
        <v>789748</v>
      </c>
      <c r="AD12" s="1">
        <v>641592</v>
      </c>
      <c r="AE12" s="1">
        <v>88136</v>
      </c>
      <c r="AF12" s="1">
        <v>11.16</v>
      </c>
      <c r="AG12" s="1"/>
      <c r="AH12" s="1"/>
      <c r="AI12" s="1"/>
      <c r="AJ12" s="1">
        <v>0</v>
      </c>
      <c r="AK12" s="1">
        <v>0</v>
      </c>
      <c r="AL12" s="1">
        <v>55282</v>
      </c>
      <c r="AM12" s="1">
        <v>0</v>
      </c>
      <c r="AN12" s="1">
        <v>0</v>
      </c>
      <c r="AO12" s="1">
        <v>55282</v>
      </c>
      <c r="AP12" s="1">
        <v>4738</v>
      </c>
      <c r="AQ12" s="1">
        <v>148156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148156</v>
      </c>
      <c r="BK12" s="1">
        <v>741592</v>
      </c>
      <c r="BL12" s="1">
        <v>18954</v>
      </c>
      <c r="BM12" s="1">
        <v>14847</v>
      </c>
      <c r="BN12" s="1">
        <v>27246</v>
      </c>
      <c r="BO12" s="1">
        <v>0</v>
      </c>
      <c r="BP12" s="1">
        <f t="shared" si="0"/>
        <v>950795</v>
      </c>
    </row>
    <row r="13" spans="1:68" x14ac:dyDescent="0.25">
      <c r="A13" t="s">
        <v>107</v>
      </c>
      <c r="B13" t="s">
        <v>115</v>
      </c>
      <c r="F13">
        <f>SUBTOTAL(109,LIBRO[Cargo])</f>
        <v>0</v>
      </c>
      <c r="G13">
        <f>SUBTOTAL(109,LIBRO[Dias Trabajados])</f>
        <v>270</v>
      </c>
      <c r="H13">
        <f>SUBTOTAL(109,LIBRO[Dias Licencia])</f>
        <v>0</v>
      </c>
      <c r="I13">
        <f>SUBTOTAL(109,LIBRO[Dias Ausencia])</f>
        <v>0</v>
      </c>
      <c r="J13">
        <f>SUBTOTAL(109,LIBRO[Dias Vacaciones])</f>
        <v>6</v>
      </c>
      <c r="K13">
        <f>SUBTOTAL(109,LIBRO[Dias de Suspension])</f>
        <v>0</v>
      </c>
      <c r="L13">
        <f>SUBTOTAL(109,LIBRO[Sueldo de Suspension])</f>
        <v>0</v>
      </c>
      <c r="M13">
        <f>SUBTOTAL(109,LIBRO[Sueldo AFC de Suspension])</f>
        <v>0</v>
      </c>
      <c r="N13">
        <f>SUBTOTAL(109,LIBRO[Sueldo Base Proporcional])</f>
        <v>5309719</v>
      </c>
      <c r="O13">
        <f>SUBTOTAL(109,LIBRO[Cant Hrs Atraso])</f>
        <v>0</v>
      </c>
      <c r="P13">
        <f>SUBTOTAL(109,LIBRO[Monto Por Atraso])</f>
        <v>0</v>
      </c>
      <c r="Q13">
        <f>SUBTOTAL(109,LIBRO[Gratificacion])</f>
        <v>1207847</v>
      </c>
      <c r="R13">
        <f>SUBTOTAL(109,LIBRO[Hora Extra])</f>
        <v>0</v>
      </c>
      <c r="S13">
        <f>SUBTOTAL(109,LIBRO[Bonos Imponibles])</f>
        <v>2404800</v>
      </c>
      <c r="T13">
        <f>SUBTOTAL(109,LIBRO[Total Comisiones])</f>
        <v>0</v>
      </c>
      <c r="U13">
        <f>SUBTOTAL(109,LIBRO[Semana Corrida])</f>
        <v>0</v>
      </c>
      <c r="V13">
        <f>SUBTOTAL(109,LIBRO[Total Haberes Imponibles])</f>
        <v>8922366</v>
      </c>
      <c r="W13">
        <f>SUBTOTAL(109,LIBRO[Movilizacion])</f>
        <v>439000</v>
      </c>
      <c r="X13">
        <f>SUBTOTAL(109,LIBRO[Colacion])</f>
        <v>415000</v>
      </c>
      <c r="Y13">
        <f>SUBTOTAL(109,LIBRO[Cargas Familiares])</f>
        <v>0</v>
      </c>
      <c r="Z13">
        <f>SUBTOTAL(109,LIBRO[Bonos No Imponibles])</f>
        <v>0</v>
      </c>
      <c r="AA13">
        <f>SUBTOTAL(109,LIBRO[Total Haberes No Imponibles])</f>
        <v>854000</v>
      </c>
      <c r="AB13">
        <f>SUBTOTAL(109,LIBRO[Total Haberes])</f>
        <v>9776366</v>
      </c>
      <c r="AC13">
        <f>SUBTOTAL(109,LIBRO[Base Imponible])</f>
        <v>8922366</v>
      </c>
      <c r="AD13">
        <f>SUBTOTAL(109,LIBRO[Base Tributable])</f>
        <v>7164043</v>
      </c>
      <c r="AE13">
        <f>SUBTOTAL(109,LIBRO[Total AFP])</f>
        <v>1000469</v>
      </c>
      <c r="AF13">
        <f>SUBTOTAL(109,LIBRO[Tasa AFP])</f>
        <v>100.46</v>
      </c>
      <c r="AG13">
        <f>SUBTOTAL(109,LIBRO[Solo AFP])</f>
        <v>0</v>
      </c>
      <c r="AH13">
        <f>SUBTOTAL(109,LIBRO[Adicional AFP])</f>
        <v>0</v>
      </c>
      <c r="AI13">
        <f>SUBTOTAL(109,LIBRO[Tasa Adicional AFP])</f>
        <v>0</v>
      </c>
      <c r="AJ13">
        <f>SUBTOTAL(109,LIBRO[INP])</f>
        <v>0</v>
      </c>
      <c r="AK13">
        <f>SUBTOTAL(109,LIBRO[Trabajo Pesado Empleado])</f>
        <v>0</v>
      </c>
      <c r="AL13">
        <f>SUBTOTAL(109,LIBRO[FONASA])</f>
        <v>548587</v>
      </c>
      <c r="AM13">
        <f>SUBTOTAL(109,LIBRO[ISAPRE])</f>
        <v>75980</v>
      </c>
      <c r="AN13">
        <f>SUBTOTAL(109,LIBRO[Adicional Salud])</f>
        <v>79752</v>
      </c>
      <c r="AO13">
        <f>SUBTOTAL(109,LIBRO[Total Salud])</f>
        <v>704319</v>
      </c>
      <c r="AP13">
        <f>SUBTOTAL(109,LIBRO[AFC Empleado])</f>
        <v>53535</v>
      </c>
      <c r="AQ13">
        <f>SUBTOTAL(109,LIBRO[Leyes Sociales])</f>
        <v>1758323</v>
      </c>
      <c r="AR13">
        <f>SUBTOTAL(109,LIBRO[Impuesto Unico])</f>
        <v>38166</v>
      </c>
      <c r="AS13">
        <f>SUBTOTAL(109,LIBRO[Rebaja Zona Extrema])</f>
        <v>0</v>
      </c>
      <c r="AT13">
        <f>SUBTOTAL(109,LIBRO[Cta Ahorro AFP])</f>
        <v>0</v>
      </c>
      <c r="AU13">
        <f>SUBTOTAL(109,LIBRO[APV A])</f>
        <v>0</v>
      </c>
      <c r="AV13">
        <f>SUBTOTAL(109,LIBRO[APV B])</f>
        <v>0</v>
      </c>
      <c r="AW13">
        <f>SUBTOTAL(109,LIBRO[APV C])</f>
        <v>0</v>
      </c>
      <c r="AX13">
        <f>SUBTOTAL(109,LIBRO[TOTAL APV])</f>
        <v>0</v>
      </c>
      <c r="AY13">
        <f>SUBTOTAL(109,LIBRO[Anticipos])</f>
        <v>0</v>
      </c>
      <c r="AZ13">
        <f>SUBTOTAL(109,LIBRO[Otros Descuentos])</f>
        <v>0</v>
      </c>
      <c r="BA13">
        <f>SUBTOTAL(109,LIBRO[Prestamos Caja])</f>
        <v>0</v>
      </c>
      <c r="BB13">
        <f>SUBTOTAL(109,LIBRO[Prestamo Social])</f>
        <v>0</v>
      </c>
      <c r="BC13">
        <f>SUBTOTAL(109,LIBRO[Prestamos Empresa])</f>
        <v>0</v>
      </c>
      <c r="BD13">
        <f>SUBTOTAL(109,LIBRO[Total Prestamos])</f>
        <v>0</v>
      </c>
      <c r="BE13">
        <f>SUBTOTAL(109,LIBRO[Seguros Dentales])</f>
        <v>0</v>
      </c>
      <c r="BF13">
        <f>SUBTOTAL(109,LIBRO[Ahorro Caja])</f>
        <v>0</v>
      </c>
      <c r="BG13">
        <f>SUBTOTAL(109,LIBRO[Seguros de Vida])</f>
        <v>0</v>
      </c>
      <c r="BH13">
        <f>SUBTOTAL(109,LIBRO[Cobertura de Suspension Total])</f>
        <v>0</v>
      </c>
      <c r="BI13">
        <f>SUBTOTAL(109,LIBRO[Cobertura de Suspension])</f>
        <v>0</v>
      </c>
      <c r="BJ13">
        <f>SUBTOTAL(109,LIBRO[Total Descuentos])</f>
        <v>1796489</v>
      </c>
      <c r="BK13">
        <f>SUBTOTAL(109,LIBRO[Sueldo Liquido])</f>
        <v>7979877</v>
      </c>
      <c r="BL13">
        <f>SUBTOTAL(109,LIBRO[AFC Empresa])</f>
        <v>214136</v>
      </c>
      <c r="BM13">
        <f>SUBTOTAL(109,LIBRO[SIS])</f>
        <v>167741</v>
      </c>
      <c r="BN13">
        <f>SUBTOTAL(109,LIBRO[MUTUAL])</f>
        <v>307821</v>
      </c>
      <c r="BO13">
        <f>SUBTOTAL(109,LIBRO[Caja Compensacion])</f>
        <v>0</v>
      </c>
      <c r="BP13">
        <f>LIBRO[[#Totals],[AFC Empresa]]+LIBRO[[#Totals],[SIS]]+LIBRO[[#Totals],[MUTUAL]]+LIBRO[[#Totals],[Total Haberes]]</f>
        <v>10466064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108</v>
      </c>
      <c r="G3" t="s">
        <v>109</v>
      </c>
    </row>
    <row r="4" spans="1:7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264000</v>
      </c>
      <c r="G4">
        <v>264000</v>
      </c>
    </row>
    <row r="5" spans="1:7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121200</v>
      </c>
      <c r="G5">
        <v>121200</v>
      </c>
    </row>
    <row r="6" spans="1:7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158400</v>
      </c>
      <c r="G6">
        <v>158400</v>
      </c>
    </row>
    <row r="7" spans="1:7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244800</v>
      </c>
      <c r="G7">
        <v>244800</v>
      </c>
    </row>
    <row r="8" spans="1:7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304800</v>
      </c>
      <c r="G8">
        <v>304800</v>
      </c>
    </row>
    <row r="9" spans="1:7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885600</v>
      </c>
      <c r="G9">
        <v>885600</v>
      </c>
    </row>
    <row r="10" spans="1:7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51600</v>
      </c>
      <c r="G10">
        <v>51600</v>
      </c>
    </row>
    <row r="11" spans="1:7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195600</v>
      </c>
      <c r="G11">
        <v>195600</v>
      </c>
    </row>
    <row r="12" spans="1:7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178800</v>
      </c>
      <c r="G12">
        <v>178800</v>
      </c>
    </row>
    <row r="13" spans="1:7" x14ac:dyDescent="0.25">
      <c r="A13" t="s">
        <v>107</v>
      </c>
      <c r="F13">
        <f>SUBTOTAL(109,BONOS[Total Bonos])</f>
        <v>2404800</v>
      </c>
      <c r="G13">
        <f>SUBTOTAL(109,BONOS[PRODUCCION])</f>
        <v>2404800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110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SUBTOTAL(109,HORAEXTRA[Total Hora Extra])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19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SUBTOTAL(109,COMISIONES[Total Comisiones])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111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SUBTOTAL(109,NOIMPONIBLE[Total Bonos No Imponibles])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55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SUBTOTAL(109,PRESTAMOS[Total Prestamos])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112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SUBTOTAL(109,ANTICIPOS[Total Anticipos])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113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SUBTOTAL(109,DESCUENTOS[Total Otros Descuentos])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LIBRO</vt:lpstr>
      <vt:lpstr>BONOS</vt:lpstr>
      <vt:lpstr>HORA EXTRA</vt:lpstr>
      <vt:lpstr>COMISIONES</vt:lpstr>
      <vt:lpstr>NO IMPONIBLE</vt:lpstr>
      <vt:lpstr>PRESTAMOS</vt:lpstr>
      <vt:lpstr>ANTICIPOS</vt:lpstr>
      <vt:lpstr>DESCUENTOS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2023-09-25T17:19:46Z</dcterms:created>
  <dcterms:modified xsi:type="dcterms:W3CDTF">2023-09-25T17:29:31Z</dcterms:modified>
  <cp:category/>
</cp:coreProperties>
</file>