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675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5" i="1" l="1"/>
  <c r="BQ6" i="1"/>
  <c r="BQ7" i="1"/>
  <c r="BQ8" i="1"/>
  <c r="BQ9" i="1"/>
  <c r="BQ10" i="1"/>
  <c r="BQ11" i="1"/>
  <c r="BQ12" i="1"/>
  <c r="BQ13" i="1"/>
  <c r="BQ14" i="1"/>
  <c r="BQ15" i="1"/>
  <c r="BQ4" i="1"/>
  <c r="BQ16" i="1" s="1"/>
  <c r="F28" i="8"/>
  <c r="G28" i="7"/>
  <c r="F28" i="7"/>
  <c r="F28" i="6"/>
  <c r="G28" i="5"/>
  <c r="F28" i="5"/>
  <c r="F28" i="4"/>
  <c r="F28" i="3"/>
  <c r="G28" i="2"/>
  <c r="F28" i="2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<sst xmlns="http://schemas.openxmlformats.org/spreadsheetml/2006/main" count="1035" uniqueCount="178">
  <si>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</si>
  <si>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</si>
  <si>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</si>
  <si>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</si>
  <si>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</si>
  <si>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</si>
  <si>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</si>
  <si>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</si>
  <si>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</si>
  <si>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</si>
  <si>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</si>
  <si>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</si>
  <si>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</si>
  <si>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</si>
  <si>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</si>
  <si>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</si>
  <si>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</si>
  <si>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</si>
  <si>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</si>
  <si>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</si>
  <si>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</si>
  <si>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</si>
  <si>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</si>
  <si>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</si>
  <si>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</si>
  <si>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</si>
  <si>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</si>
  <si>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</si>
  <si>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</si>
  <si>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</si>
  <si>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</si>
  <si>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</si>
  <si>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</si>
  <si>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</si>
  <si>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</si>
  <si>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</si>
  <si>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</si>
  <si>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</si>
  <si>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</si>
  <si>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</si>
  <si>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</si>
  <si>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</si>
  <si>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</si>
  <si>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</si>
  <si>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</si>
  <si>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</si>
  <si>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</si>
  <si>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</si>
  <si>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</si>
  <si>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</si>
  <si>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</si>
  <si>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</si>
  <si>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</si>
  <si>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</si>
  <si>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</si>
  <si>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</si>
  <si>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</si>
  <si>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</si>
  <si>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</si>
  <si>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</si>
  <si>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</si>
  <si>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</si>
  <si>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</si>
  <si>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</si>
  <si>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</si>
  <si>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</si>
  <si>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</si>
  <si>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</si>
  <si>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</si>
  <si>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</si>
  <si>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</si>
  <si>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</si>
  <si>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</si>
  <si>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MAESTRO OBRAS CIVILES</t>
  </si>
  <si>
    <t>24.349.134-7</t>
  </si>
  <si>
    <t>Jhonny franck</t>
  </si>
  <si>
    <t>Andrade</t>
  </si>
  <si>
    <t>Martinez</t>
  </si>
  <si>
    <t>CONSECIONARIA G21</t>
  </si>
  <si>
    <t>21.161.290-8</t>
  </si>
  <si>
    <t>IGNACIO DAMIAN</t>
  </si>
  <si>
    <t>VALENZUELA</t>
  </si>
  <si>
    <t>RODRIGUEZ</t>
  </si>
  <si>
    <t>12.959.482-9</t>
  </si>
  <si>
    <t>RENE HUMBERTO</t>
  </si>
  <si>
    <t>PARRAGUEZ</t>
  </si>
  <si>
    <t>RAMIREZ</t>
  </si>
  <si>
    <t>SUPERVISOR</t>
  </si>
  <si>
    <t>10.241.175-7</t>
  </si>
  <si>
    <t>OSMAN ALBERTO</t>
  </si>
  <si>
    <t>GUTIERREZ</t>
  </si>
  <si>
    <t>26.406.829-0</t>
  </si>
  <si>
    <t>Doudley</t>
  </si>
  <si>
    <t>Nelson</t>
  </si>
  <si>
    <t>17.387.995-4</t>
  </si>
  <si>
    <t>LUIS SEBASTIÁN</t>
  </si>
  <si>
    <t>CASTILLO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</si>
  <si>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</si>
  <si>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</si>
  <si>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</si>
  <si>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</si>
  <si>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</si>
  <si>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</si>
  <si>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</si>
  <si>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</si>
  <si>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ADMINISTRACION</t>
  </si>
  <si>
    <t>13.030.425-7</t>
  </si>
  <si>
    <t>Carlos antonio</t>
  </si>
  <si>
    <t>Valenzuela</t>
  </si>
  <si>
    <t>Salazar</t>
  </si>
  <si>
    <t>12.582.950-3</t>
  </si>
  <si>
    <t>VICTOR ANIBAL</t>
  </si>
  <si>
    <t>SANCHEZ</t>
  </si>
  <si>
    <t>VENECIANO</t>
  </si>
  <si>
    <t>TOPOGRAFO</t>
  </si>
  <si>
    <t>11.961.183-0</t>
  </si>
  <si>
    <t>LUIS ALBERTO</t>
  </si>
  <si>
    <t>MOLINA</t>
  </si>
  <si>
    <t>HENRIQUEZ</t>
  </si>
  <si>
    <t>15.807.231-9</t>
  </si>
  <si>
    <t>Rodrigo andres</t>
  </si>
  <si>
    <t>Palma</t>
  </si>
  <si>
    <t>Arce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</si>
  <si>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</si>
  <si>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</si>
  <si>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</si>
  <si>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</si>
  <si>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</si>
  <si>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</si>
  <si>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</si>
  <si>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</si>
  <si>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MAESTRO OBRA CIVILES</t>
  </si>
  <si>
    <t>12.946.030-K</t>
  </si>
  <si>
    <t>MARCELO ANDRÉS</t>
  </si>
  <si>
    <t>ZAVALA</t>
  </si>
  <si>
    <t>RIVERO</t>
  </si>
  <si>
    <t>12.327.180-7</t>
  </si>
  <si>
    <t>JUAN HERMO</t>
  </si>
  <si>
    <t>PARRA</t>
  </si>
  <si>
    <t>HERRERA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</si>
  <si>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</si>
  <si>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</si>
  <si>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</si>
  <si>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</si>
  <si>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</si>
  <si>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</si>
  <si>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</si>
  <si>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</si>
  <si>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19.716.707-6</t>
  </si>
  <si>
    <t>HERMO HERNALDO</t>
  </si>
  <si>
    <t>NAVARRETE</t>
  </si>
  <si>
    <t>27.003.198-6</t>
  </si>
  <si>
    <t>CHAVANES</t>
  </si>
  <si>
    <t>LUCIEN</t>
  </si>
  <si>
    <t/>
  </si>
  <si>
    <t>12.777.277-0</t>
  </si>
  <si>
    <t>FRANCISCO JAVIER</t>
  </si>
  <si>
    <t>ALFARO</t>
  </si>
  <si>
    <t>MAESTRO DE OBRAS CIVILES</t>
  </si>
  <si>
    <t>12.039.142-9</t>
  </si>
  <si>
    <t>ROMULO AUGUSTO</t>
  </si>
  <si>
    <t>BRUNA</t>
  </si>
  <si>
    <t>MORALES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</si>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</sst>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16" totalsRowCount="1">
  <autoFilter ref="A3:BQ15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6"/>
  <sheetViews>
    <sheetView tabSelected="1" workbookViewId="0">
      <selection activeCell="I22" sqref="I22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176</v>
      </c>
    </row>
    <row r="4" spans="1:69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73</v>
      </c>
      <c r="G4">
        <v>27</v>
      </c>
      <c r="I4">
        <v>0</v>
      </c>
      <c r="J4">
        <v>0</v>
      </c>
      <c r="K4">
        <v>0</v>
      </c>
      <c r="L4">
        <v>0</v>
      </c>
      <c r="O4">
        <v>484522</v>
      </c>
      <c r="P4">
        <v>0</v>
      </c>
      <c r="Q4">
        <v>0</v>
      </c>
      <c r="R4">
        <v>121131</v>
      </c>
      <c r="S4">
        <v>0</v>
      </c>
      <c r="T4">
        <v>84000</v>
      </c>
      <c r="U4">
        <v>0</v>
      </c>
      <c r="V4">
        <v>0</v>
      </c>
      <c r="W4">
        <v>689653</v>
      </c>
      <c r="X4">
        <v>90000</v>
      </c>
      <c r="Y4">
        <v>90000</v>
      </c>
      <c r="Z4">
        <v>0</v>
      </c>
      <c r="AA4">
        <v>0</v>
      </c>
      <c r="AB4">
        <v>180000</v>
      </c>
      <c r="AC4">
        <v>869653</v>
      </c>
      <c r="AD4">
        <v>689653</v>
      </c>
      <c r="AE4">
        <v>563653</v>
      </c>
      <c r="AF4">
        <v>77724</v>
      </c>
      <c r="AG4">
        <v>11.27</v>
      </c>
      <c r="AH4">
        <v>77724</v>
      </c>
      <c r="AI4">
        <v>0</v>
      </c>
      <c r="AJ4">
        <v>0</v>
      </c>
      <c r="AK4">
        <v>0</v>
      </c>
      <c r="AL4">
        <v>0</v>
      </c>
      <c r="AM4">
        <v>48276</v>
      </c>
      <c r="AN4">
        <v>0</v>
      </c>
      <c r="AO4">
        <v>0</v>
      </c>
      <c r="AP4">
        <v>48276</v>
      </c>
      <c r="AQ4">
        <v>0</v>
      </c>
      <c r="AR4">
        <v>126000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50000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176000</v>
      </c>
      <c r="BL4">
        <v>693653</v>
      </c>
      <c r="BM4">
        <v>20690</v>
      </c>
      <c r="BN4">
        <v>12965</v>
      </c>
      <c r="BO4">
        <v>24000</v>
      </c>
      <c r="BP4">
        <v>0</v>
      </c>
      <c r="BQ4">
        <f>LIBRO[[#This Row],[MUTUAL]]+LIBRO[[#This Row],[SIS]]+LIBRO[[#This Row],[AFC Empresa]]+LIBRO[[#This Row],[Total Haberes]]</f>
        <v>927308</v>
      </c>
    </row>
    <row r="5" spans="1:69" x14ac:dyDescent="0.25">
      <c r="A5" t="s">
        <v>83</v>
      </c>
      <c r="B5" t="s">
        <v>84</v>
      </c>
      <c r="C5" t="s">
        <v>85</v>
      </c>
      <c r="D5" t="s">
        <v>86</v>
      </c>
      <c r="E5" t="s">
        <v>72</v>
      </c>
      <c r="F5" t="s">
        <v>87</v>
      </c>
      <c r="G5">
        <v>27</v>
      </c>
      <c r="I5">
        <v>0</v>
      </c>
      <c r="J5">
        <v>0</v>
      </c>
      <c r="K5">
        <v>0</v>
      </c>
      <c r="L5">
        <v>0</v>
      </c>
      <c r="O5">
        <v>1352489</v>
      </c>
      <c r="P5">
        <v>0</v>
      </c>
      <c r="Q5">
        <v>0</v>
      </c>
      <c r="R5">
        <v>182083</v>
      </c>
      <c r="S5">
        <v>0</v>
      </c>
      <c r="T5">
        <v>180000</v>
      </c>
      <c r="U5">
        <v>0</v>
      </c>
      <c r="V5">
        <v>0</v>
      </c>
      <c r="W5">
        <v>1714572</v>
      </c>
      <c r="X5">
        <v>180000</v>
      </c>
      <c r="Y5">
        <v>225000</v>
      </c>
      <c r="Z5">
        <v>0</v>
      </c>
      <c r="AA5">
        <v>400000</v>
      </c>
      <c r="AB5">
        <v>805000</v>
      </c>
      <c r="AC5">
        <v>2519572</v>
      </c>
      <c r="AD5">
        <v>1714572</v>
      </c>
      <c r="AE5">
        <v>1401320</v>
      </c>
      <c r="AF5">
        <v>193232</v>
      </c>
      <c r="AG5">
        <v>11.27</v>
      </c>
      <c r="AH5">
        <v>193232</v>
      </c>
      <c r="AI5">
        <v>0</v>
      </c>
      <c r="AJ5">
        <v>0</v>
      </c>
      <c r="AK5">
        <v>0</v>
      </c>
      <c r="AL5">
        <v>0</v>
      </c>
      <c r="AM5">
        <v>120020</v>
      </c>
      <c r="AN5">
        <v>0</v>
      </c>
      <c r="AO5">
        <v>0</v>
      </c>
      <c r="AP5">
        <v>120020</v>
      </c>
      <c r="AQ5">
        <v>0</v>
      </c>
      <c r="AR5">
        <v>313252</v>
      </c>
      <c r="AS5">
        <v>21789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50000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385041</v>
      </c>
      <c r="BL5">
        <v>2134531</v>
      </c>
      <c r="BM5">
        <v>51437</v>
      </c>
      <c r="BN5">
        <v>32234</v>
      </c>
      <c r="BO5">
        <v>59667</v>
      </c>
      <c r="BP5">
        <v>0</v>
      </c>
      <c r="BQ5">
        <f>LIBRO[[#This Row],[MUTUAL]]+LIBRO[[#This Row],[SIS]]+LIBRO[[#This Row],[AFC Empresa]]+LIBRO[[#This Row],[Total Haberes]]</f>
        <v>2662910</v>
      </c>
    </row>
    <row r="6" spans="1:69" x14ac:dyDescent="0.25">
      <c r="A6" t="s">
        <v>88</v>
      </c>
      <c r="B6" t="s">
        <v>89</v>
      </c>
      <c r="C6" t="s">
        <v>82</v>
      </c>
      <c r="D6" t="s">
        <v>90</v>
      </c>
      <c r="E6" t="s">
        <v>72</v>
      </c>
      <c r="F6" t="s">
        <v>73</v>
      </c>
      <c r="G6">
        <v>11</v>
      </c>
      <c r="I6">
        <v>0</v>
      </c>
      <c r="J6">
        <v>0</v>
      </c>
      <c r="K6">
        <v>0</v>
      </c>
      <c r="L6">
        <v>0</v>
      </c>
      <c r="O6">
        <v>197398</v>
      </c>
      <c r="P6">
        <v>0</v>
      </c>
      <c r="Q6">
        <v>0</v>
      </c>
      <c r="R6">
        <v>49350</v>
      </c>
      <c r="S6">
        <v>0</v>
      </c>
      <c r="T6">
        <v>0</v>
      </c>
      <c r="U6">
        <v>0</v>
      </c>
      <c r="V6">
        <v>0</v>
      </c>
      <c r="W6">
        <v>246748</v>
      </c>
      <c r="X6">
        <v>36667</v>
      </c>
      <c r="Y6">
        <v>36667</v>
      </c>
      <c r="Z6">
        <v>0</v>
      </c>
      <c r="AA6">
        <v>0</v>
      </c>
      <c r="AB6">
        <v>73334</v>
      </c>
      <c r="AC6">
        <v>320082</v>
      </c>
      <c r="AD6">
        <v>246748</v>
      </c>
      <c r="AE6">
        <v>201668</v>
      </c>
      <c r="AF6">
        <v>27808</v>
      </c>
      <c r="AG6">
        <v>11.27</v>
      </c>
      <c r="AH6">
        <v>27808</v>
      </c>
      <c r="AI6">
        <v>0</v>
      </c>
      <c r="AJ6">
        <v>0</v>
      </c>
      <c r="AK6">
        <v>0</v>
      </c>
      <c r="AL6">
        <v>0</v>
      </c>
      <c r="AM6">
        <v>17272</v>
      </c>
      <c r="AN6">
        <v>0</v>
      </c>
      <c r="AO6">
        <v>0</v>
      </c>
      <c r="AP6">
        <v>17272</v>
      </c>
      <c r="AQ6">
        <v>0</v>
      </c>
      <c r="AR6">
        <v>45080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45080</v>
      </c>
      <c r="BL6">
        <v>275002</v>
      </c>
      <c r="BM6">
        <v>7402</v>
      </c>
      <c r="BN6">
        <v>4639</v>
      </c>
      <c r="BO6">
        <v>8587</v>
      </c>
      <c r="BP6">
        <v>0</v>
      </c>
      <c r="BQ6">
        <f>LIBRO[[#This Row],[MUTUAL]]+LIBRO[[#This Row],[SIS]]+LIBRO[[#This Row],[AFC Empresa]]+LIBRO[[#This Row],[Total Haberes]]</f>
        <v>340710</v>
      </c>
    </row>
    <row r="7" spans="1:69" x14ac:dyDescent="0.25">
      <c r="A7" t="s">
        <v>94</v>
      </c>
      <c r="B7" t="s">
        <v>95</v>
      </c>
      <c r="C7" t="s">
        <v>96</v>
      </c>
      <c r="D7" t="s">
        <v>96</v>
      </c>
      <c r="E7" t="s">
        <v>72</v>
      </c>
      <c r="F7" t="s">
        <v>73</v>
      </c>
      <c r="G7">
        <v>9</v>
      </c>
      <c r="I7">
        <v>0</v>
      </c>
      <c r="J7">
        <v>0</v>
      </c>
      <c r="K7">
        <v>0</v>
      </c>
      <c r="L7">
        <v>0</v>
      </c>
      <c r="O7">
        <v>161864</v>
      </c>
      <c r="P7">
        <v>0</v>
      </c>
      <c r="Q7">
        <v>0</v>
      </c>
      <c r="R7">
        <v>40466</v>
      </c>
      <c r="S7">
        <v>0</v>
      </c>
      <c r="T7">
        <v>0</v>
      </c>
      <c r="U7">
        <v>0</v>
      </c>
      <c r="V7">
        <v>0</v>
      </c>
      <c r="W7">
        <v>202330</v>
      </c>
      <c r="X7">
        <v>30000</v>
      </c>
      <c r="Y7">
        <v>30000</v>
      </c>
      <c r="Z7">
        <v>0</v>
      </c>
      <c r="AA7">
        <v>0</v>
      </c>
      <c r="AB7">
        <v>60000</v>
      </c>
      <c r="AC7">
        <v>262330</v>
      </c>
      <c r="AD7">
        <v>202330</v>
      </c>
      <c r="AE7">
        <v>165000</v>
      </c>
      <c r="AF7">
        <v>23167</v>
      </c>
      <c r="AG7">
        <v>11.45</v>
      </c>
      <c r="AH7">
        <v>23167</v>
      </c>
      <c r="AI7">
        <v>0</v>
      </c>
      <c r="AJ7">
        <v>0</v>
      </c>
      <c r="AK7">
        <v>0</v>
      </c>
      <c r="AL7">
        <v>0</v>
      </c>
      <c r="AM7">
        <v>14163</v>
      </c>
      <c r="AN7">
        <v>0</v>
      </c>
      <c r="AO7">
        <v>0</v>
      </c>
      <c r="AP7">
        <v>14163</v>
      </c>
      <c r="AQ7">
        <v>0</v>
      </c>
      <c r="AR7">
        <v>37330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37330</v>
      </c>
      <c r="BL7">
        <v>225000</v>
      </c>
      <c r="BM7">
        <v>6070</v>
      </c>
      <c r="BN7">
        <v>3804</v>
      </c>
      <c r="BO7">
        <v>7041</v>
      </c>
      <c r="BP7">
        <v>0</v>
      </c>
      <c r="BQ7">
        <f>LIBRO[[#This Row],[MUTUAL]]+LIBRO[[#This Row],[SIS]]+LIBRO[[#This Row],[AFC Empresa]]+LIBRO[[#This Row],[Total Haberes]]</f>
        <v>279245</v>
      </c>
    </row>
    <row r="8" spans="1:69" x14ac:dyDescent="0.25">
      <c r="A8" t="s">
        <v>110</v>
      </c>
      <c r="B8" t="s">
        <v>111</v>
      </c>
      <c r="C8" t="s">
        <v>112</v>
      </c>
      <c r="D8" t="s">
        <v>113</v>
      </c>
      <c r="E8" t="s">
        <v>72</v>
      </c>
      <c r="F8" t="s">
        <v>114</v>
      </c>
      <c r="G8">
        <v>8</v>
      </c>
      <c r="I8">
        <v>0</v>
      </c>
      <c r="J8">
        <v>9</v>
      </c>
      <c r="K8">
        <v>0</v>
      </c>
      <c r="L8">
        <v>0</v>
      </c>
      <c r="O8">
        <v>265438</v>
      </c>
      <c r="P8">
        <v>0</v>
      </c>
      <c r="Q8">
        <v>0</v>
      </c>
      <c r="R8">
        <v>66360</v>
      </c>
      <c r="S8">
        <v>0</v>
      </c>
      <c r="T8">
        <v>0</v>
      </c>
      <c r="U8">
        <v>0</v>
      </c>
      <c r="V8">
        <v>0</v>
      </c>
      <c r="W8">
        <v>331798</v>
      </c>
      <c r="X8">
        <v>40000</v>
      </c>
      <c r="Y8">
        <v>40000</v>
      </c>
      <c r="Z8">
        <v>0</v>
      </c>
      <c r="AA8">
        <v>0</v>
      </c>
      <c r="AB8">
        <v>80000</v>
      </c>
      <c r="AC8">
        <v>411798</v>
      </c>
      <c r="AD8">
        <v>331798</v>
      </c>
      <c r="AE8">
        <v>270614</v>
      </c>
      <c r="AF8">
        <v>37958</v>
      </c>
      <c r="AG8">
        <v>11.44</v>
      </c>
      <c r="AH8">
        <v>37958</v>
      </c>
      <c r="AI8">
        <v>0</v>
      </c>
      <c r="AJ8">
        <v>0</v>
      </c>
      <c r="AK8">
        <v>0</v>
      </c>
      <c r="AL8">
        <v>0</v>
      </c>
      <c r="AM8">
        <v>23226</v>
      </c>
      <c r="AN8">
        <v>0</v>
      </c>
      <c r="AO8">
        <v>0</v>
      </c>
      <c r="AP8">
        <v>23226</v>
      </c>
      <c r="AQ8">
        <v>0</v>
      </c>
      <c r="AR8">
        <v>61184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61184</v>
      </c>
      <c r="BL8">
        <v>350614</v>
      </c>
      <c r="BM8">
        <v>9954</v>
      </c>
      <c r="BN8">
        <v>6238</v>
      </c>
      <c r="BO8">
        <v>11547</v>
      </c>
      <c r="BP8">
        <v>0</v>
      </c>
      <c r="BQ8">
        <f>LIBRO[[#This Row],[MUTUAL]]+LIBRO[[#This Row],[SIS]]+LIBRO[[#This Row],[AFC Empresa]]+LIBRO[[#This Row],[Total Haberes]]</f>
        <v>439537</v>
      </c>
    </row>
    <row r="9" spans="1:69" x14ac:dyDescent="0.25">
      <c r="A9" t="s">
        <v>115</v>
      </c>
      <c r="B9" t="s">
        <v>116</v>
      </c>
      <c r="C9" t="s">
        <v>117</v>
      </c>
      <c r="D9" t="s">
        <v>118</v>
      </c>
      <c r="E9" t="s">
        <v>72</v>
      </c>
      <c r="F9" t="s">
        <v>73</v>
      </c>
      <c r="G9">
        <v>27</v>
      </c>
      <c r="I9">
        <v>0</v>
      </c>
      <c r="J9">
        <v>0</v>
      </c>
      <c r="K9">
        <v>0</v>
      </c>
      <c r="L9">
        <v>0</v>
      </c>
      <c r="O9">
        <v>485591</v>
      </c>
      <c r="P9">
        <v>0</v>
      </c>
      <c r="Q9">
        <v>0</v>
      </c>
      <c r="R9">
        <v>121398</v>
      </c>
      <c r="S9">
        <v>0</v>
      </c>
      <c r="T9">
        <v>84000</v>
      </c>
      <c r="U9">
        <v>0</v>
      </c>
      <c r="V9">
        <v>0</v>
      </c>
      <c r="W9">
        <v>690989</v>
      </c>
      <c r="X9">
        <v>90000</v>
      </c>
      <c r="Y9">
        <v>90000</v>
      </c>
      <c r="Z9">
        <v>0</v>
      </c>
      <c r="AA9">
        <v>0</v>
      </c>
      <c r="AB9">
        <v>180000</v>
      </c>
      <c r="AC9">
        <v>870989</v>
      </c>
      <c r="AD9">
        <v>690989</v>
      </c>
      <c r="AE9">
        <v>563502</v>
      </c>
      <c r="AF9">
        <v>79118</v>
      </c>
      <c r="AG9">
        <v>11.45</v>
      </c>
      <c r="AH9">
        <v>79118</v>
      </c>
      <c r="AI9">
        <v>0</v>
      </c>
      <c r="AJ9">
        <v>0</v>
      </c>
      <c r="AK9">
        <v>0</v>
      </c>
      <c r="AL9">
        <v>0</v>
      </c>
      <c r="AM9">
        <v>48369</v>
      </c>
      <c r="AN9">
        <v>0</v>
      </c>
      <c r="AO9">
        <v>0</v>
      </c>
      <c r="AP9">
        <v>48369</v>
      </c>
      <c r="AQ9">
        <v>0</v>
      </c>
      <c r="AR9">
        <v>127487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50000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177487</v>
      </c>
      <c r="BL9">
        <v>693502</v>
      </c>
      <c r="BM9">
        <v>20730</v>
      </c>
      <c r="BN9">
        <v>12991</v>
      </c>
      <c r="BO9">
        <v>24046</v>
      </c>
      <c r="BP9">
        <v>0</v>
      </c>
      <c r="BQ9">
        <f>LIBRO[[#This Row],[MUTUAL]]+LIBRO[[#This Row],[SIS]]+LIBRO[[#This Row],[AFC Empresa]]+LIBRO[[#This Row],[Total Haberes]]</f>
        <v>928756</v>
      </c>
    </row>
    <row r="10" spans="1:69" x14ac:dyDescent="0.25">
      <c r="A10" t="s">
        <v>123</v>
      </c>
      <c r="B10" t="s">
        <v>124</v>
      </c>
      <c r="C10" t="s">
        <v>125</v>
      </c>
      <c r="D10" t="s">
        <v>126</v>
      </c>
      <c r="E10" t="s">
        <v>72</v>
      </c>
      <c r="F10" t="s">
        <v>87</v>
      </c>
      <c r="G10">
        <v>27</v>
      </c>
      <c r="I10">
        <v>0</v>
      </c>
      <c r="J10">
        <v>0</v>
      </c>
      <c r="K10">
        <v>0</v>
      </c>
      <c r="L10">
        <v>0</v>
      </c>
      <c r="O10">
        <v>1485995</v>
      </c>
      <c r="P10">
        <v>0</v>
      </c>
      <c r="Q10">
        <v>0</v>
      </c>
      <c r="R10">
        <v>182083</v>
      </c>
      <c r="S10">
        <v>0</v>
      </c>
      <c r="T10">
        <v>180000</v>
      </c>
      <c r="U10">
        <v>0</v>
      </c>
      <c r="V10">
        <v>0</v>
      </c>
      <c r="W10">
        <v>1848078</v>
      </c>
      <c r="X10">
        <v>180000</v>
      </c>
      <c r="Y10">
        <v>225000</v>
      </c>
      <c r="Z10">
        <v>0</v>
      </c>
      <c r="AA10">
        <v>0</v>
      </c>
      <c r="AB10">
        <v>405000</v>
      </c>
      <c r="AC10">
        <v>2253078</v>
      </c>
      <c r="AD10">
        <v>1848078</v>
      </c>
      <c r="AE10">
        <v>1429898</v>
      </c>
      <c r="AF10">
        <v>211420</v>
      </c>
      <c r="AG10">
        <v>11.44</v>
      </c>
      <c r="AH10">
        <v>211420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129365</v>
      </c>
      <c r="AO10">
        <v>102784</v>
      </c>
      <c r="AP10">
        <v>232149</v>
      </c>
      <c r="AQ10">
        <v>0</v>
      </c>
      <c r="AR10">
        <v>443569</v>
      </c>
      <c r="AS10">
        <v>22932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50000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516501</v>
      </c>
      <c r="BL10">
        <v>1736577</v>
      </c>
      <c r="BM10">
        <v>55442</v>
      </c>
      <c r="BN10">
        <v>34744</v>
      </c>
      <c r="BO10">
        <v>64313</v>
      </c>
      <c r="BP10">
        <v>0</v>
      </c>
      <c r="BQ10">
        <f>LIBRO[[#This Row],[MUTUAL]]+LIBRO[[#This Row],[SIS]]+LIBRO[[#This Row],[AFC Empresa]]+LIBRO[[#This Row],[Total Haberes]]</f>
        <v>2407577</v>
      </c>
    </row>
    <row r="11" spans="1:69" x14ac:dyDescent="0.25">
      <c r="A11" t="s">
        <v>127</v>
      </c>
      <c r="B11" t="s">
        <v>128</v>
      </c>
      <c r="C11" t="s">
        <v>129</v>
      </c>
      <c r="D11" t="s">
        <v>130</v>
      </c>
      <c r="E11" t="s">
        <v>72</v>
      </c>
      <c r="F11" t="s">
        <v>131</v>
      </c>
      <c r="G11">
        <v>27</v>
      </c>
      <c r="I11">
        <v>0</v>
      </c>
      <c r="J11">
        <v>0</v>
      </c>
      <c r="K11">
        <v>0</v>
      </c>
      <c r="L11">
        <v>0</v>
      </c>
      <c r="O11">
        <v>425806</v>
      </c>
      <c r="P11">
        <v>0</v>
      </c>
      <c r="Q11">
        <v>0</v>
      </c>
      <c r="R11">
        <v>106452</v>
      </c>
      <c r="S11">
        <v>0</v>
      </c>
      <c r="T11">
        <v>84000</v>
      </c>
      <c r="U11">
        <v>0</v>
      </c>
      <c r="V11">
        <v>0</v>
      </c>
      <c r="W11">
        <v>616258</v>
      </c>
      <c r="X11">
        <v>90000</v>
      </c>
      <c r="Y11">
        <v>90000</v>
      </c>
      <c r="Z11">
        <v>0</v>
      </c>
      <c r="AA11">
        <v>0</v>
      </c>
      <c r="AB11">
        <v>180000</v>
      </c>
      <c r="AC11">
        <v>796258</v>
      </c>
      <c r="AD11">
        <v>616258</v>
      </c>
      <c r="AE11">
        <v>573120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43138</v>
      </c>
      <c r="AN11">
        <v>0</v>
      </c>
      <c r="AO11">
        <v>0</v>
      </c>
      <c r="AP11">
        <v>43138</v>
      </c>
      <c r="AQ11">
        <v>0</v>
      </c>
      <c r="AR11">
        <v>43138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50000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93138</v>
      </c>
      <c r="BL11">
        <v>703120</v>
      </c>
      <c r="BM11">
        <v>0</v>
      </c>
      <c r="BN11">
        <v>0</v>
      </c>
      <c r="BO11">
        <v>21446</v>
      </c>
      <c r="BP11">
        <v>0</v>
      </c>
      <c r="BQ11">
        <f>LIBRO[[#This Row],[MUTUAL]]+LIBRO[[#This Row],[SIS]]+LIBRO[[#This Row],[AFC Empresa]]+LIBRO[[#This Row],[Total Haberes]]</f>
        <v>817704</v>
      </c>
    </row>
    <row r="12" spans="1:69" x14ac:dyDescent="0.25">
      <c r="A12" t="s">
        <v>132</v>
      </c>
      <c r="B12" t="s">
        <v>133</v>
      </c>
      <c r="C12" t="s">
        <v>134</v>
      </c>
      <c r="D12" t="s">
        <v>135</v>
      </c>
      <c r="E12" t="s">
        <v>72</v>
      </c>
      <c r="F12" t="s">
        <v>114</v>
      </c>
      <c r="G12">
        <v>11</v>
      </c>
      <c r="I12">
        <v>0</v>
      </c>
      <c r="J12">
        <v>0</v>
      </c>
      <c r="K12">
        <v>0</v>
      </c>
      <c r="L12">
        <v>0</v>
      </c>
      <c r="O12">
        <v>385489</v>
      </c>
      <c r="P12">
        <v>0</v>
      </c>
      <c r="Q12">
        <v>0</v>
      </c>
      <c r="R12">
        <v>96372</v>
      </c>
      <c r="S12">
        <v>0</v>
      </c>
      <c r="T12">
        <v>84000</v>
      </c>
      <c r="U12">
        <v>0</v>
      </c>
      <c r="V12">
        <v>0</v>
      </c>
      <c r="W12">
        <v>565861</v>
      </c>
      <c r="X12">
        <v>55000</v>
      </c>
      <c r="Y12">
        <v>55000</v>
      </c>
      <c r="Z12">
        <v>0</v>
      </c>
      <c r="AA12">
        <v>0</v>
      </c>
      <c r="AB12">
        <v>110000</v>
      </c>
      <c r="AC12">
        <v>675861</v>
      </c>
      <c r="AD12">
        <v>565861</v>
      </c>
      <c r="AE12">
        <v>461517</v>
      </c>
      <c r="AF12">
        <v>64734</v>
      </c>
      <c r="AG12">
        <v>11.44</v>
      </c>
      <c r="AH12">
        <v>64734</v>
      </c>
      <c r="AI12">
        <v>0</v>
      </c>
      <c r="AJ12">
        <v>0</v>
      </c>
      <c r="AK12">
        <v>0</v>
      </c>
      <c r="AL12">
        <v>0</v>
      </c>
      <c r="AM12">
        <v>39610</v>
      </c>
      <c r="AN12">
        <v>0</v>
      </c>
      <c r="AO12">
        <v>0</v>
      </c>
      <c r="AP12">
        <v>39610</v>
      </c>
      <c r="AQ12">
        <v>0</v>
      </c>
      <c r="AR12">
        <v>104344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104344</v>
      </c>
      <c r="BL12">
        <v>571517</v>
      </c>
      <c r="BM12">
        <v>16976</v>
      </c>
      <c r="BN12">
        <v>10638</v>
      </c>
      <c r="BO12">
        <v>19692</v>
      </c>
      <c r="BP12">
        <v>0</v>
      </c>
      <c r="BQ12">
        <f>LIBRO[[#This Row],[MUTUAL]]+LIBRO[[#This Row],[SIS]]+LIBRO[[#This Row],[AFC Empresa]]+LIBRO[[#This Row],[Total Haberes]]</f>
        <v>723167</v>
      </c>
    </row>
    <row r="13" spans="1:69" x14ac:dyDescent="0.25">
      <c r="A13" t="s">
        <v>136</v>
      </c>
      <c r="B13" t="s">
        <v>137</v>
      </c>
      <c r="C13" t="s">
        <v>138</v>
      </c>
      <c r="D13" t="s">
        <v>139</v>
      </c>
      <c r="E13" t="s">
        <v>72</v>
      </c>
      <c r="F13" t="s">
        <v>73</v>
      </c>
      <c r="G13">
        <v>27</v>
      </c>
      <c r="I13">
        <v>0</v>
      </c>
      <c r="J13">
        <v>0</v>
      </c>
      <c r="K13">
        <v>0</v>
      </c>
      <c r="L13">
        <v>0</v>
      </c>
      <c r="O13">
        <v>485591</v>
      </c>
      <c r="P13">
        <v>0</v>
      </c>
      <c r="Q13">
        <v>0</v>
      </c>
      <c r="R13">
        <v>121398</v>
      </c>
      <c r="S13">
        <v>0</v>
      </c>
      <c r="T13">
        <v>84000</v>
      </c>
      <c r="U13">
        <v>0</v>
      </c>
      <c r="V13">
        <v>0</v>
      </c>
      <c r="W13">
        <v>690989</v>
      </c>
      <c r="X13">
        <v>90000</v>
      </c>
      <c r="Y13">
        <v>90000</v>
      </c>
      <c r="Z13">
        <v>0</v>
      </c>
      <c r="AA13">
        <v>0</v>
      </c>
      <c r="AB13">
        <v>180000</v>
      </c>
      <c r="AC13">
        <v>870989</v>
      </c>
      <c r="AD13">
        <v>690989</v>
      </c>
      <c r="AE13">
        <v>563502</v>
      </c>
      <c r="AF13">
        <v>79118</v>
      </c>
      <c r="AG13">
        <v>11.45</v>
      </c>
      <c r="AH13">
        <v>79118</v>
      </c>
      <c r="AI13">
        <v>0</v>
      </c>
      <c r="AJ13">
        <v>0</v>
      </c>
      <c r="AK13">
        <v>0</v>
      </c>
      <c r="AL13">
        <v>0</v>
      </c>
      <c r="AM13">
        <v>48369</v>
      </c>
      <c r="AN13">
        <v>0</v>
      </c>
      <c r="AO13">
        <v>0</v>
      </c>
      <c r="AP13">
        <v>48369</v>
      </c>
      <c r="AQ13">
        <v>0</v>
      </c>
      <c r="AR13">
        <v>127487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50000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177487</v>
      </c>
      <c r="BL13">
        <v>693502</v>
      </c>
      <c r="BM13">
        <v>20730</v>
      </c>
      <c r="BN13">
        <v>12991</v>
      </c>
      <c r="BO13">
        <v>24046</v>
      </c>
      <c r="BP13">
        <v>0</v>
      </c>
      <c r="BQ13">
        <f>LIBRO[[#This Row],[MUTUAL]]+LIBRO[[#This Row],[SIS]]+LIBRO[[#This Row],[AFC Empresa]]+LIBRO[[#This Row],[Total Haberes]]</f>
        <v>928756</v>
      </c>
    </row>
    <row r="14" spans="1:69" x14ac:dyDescent="0.25">
      <c r="A14" t="s">
        <v>148</v>
      </c>
      <c r="B14" t="s">
        <v>149</v>
      </c>
      <c r="C14" t="s">
        <v>138</v>
      </c>
      <c r="D14" t="s">
        <v>150</v>
      </c>
      <c r="E14" t="s">
        <v>72</v>
      </c>
      <c r="F14" t="s">
        <v>73</v>
      </c>
      <c r="G14">
        <v>10</v>
      </c>
      <c r="I14">
        <v>0</v>
      </c>
      <c r="J14">
        <v>0</v>
      </c>
      <c r="K14">
        <v>0</v>
      </c>
      <c r="L14">
        <v>0</v>
      </c>
      <c r="O14">
        <v>179211</v>
      </c>
      <c r="P14">
        <v>0</v>
      </c>
      <c r="Q14">
        <v>0</v>
      </c>
      <c r="R14">
        <v>44803</v>
      </c>
      <c r="S14">
        <v>0</v>
      </c>
      <c r="T14">
        <v>84000</v>
      </c>
      <c r="U14">
        <v>0</v>
      </c>
      <c r="V14">
        <v>0</v>
      </c>
      <c r="W14">
        <v>308014</v>
      </c>
      <c r="X14">
        <v>33333</v>
      </c>
      <c r="Y14">
        <v>33333</v>
      </c>
      <c r="Z14">
        <v>0</v>
      </c>
      <c r="AA14">
        <v>0</v>
      </c>
      <c r="AB14">
        <v>66666</v>
      </c>
      <c r="AC14">
        <v>374680</v>
      </c>
      <c r="AD14">
        <v>308014</v>
      </c>
      <c r="AE14">
        <v>252079</v>
      </c>
      <c r="AF14">
        <v>34374</v>
      </c>
      <c r="AG14">
        <v>11.16</v>
      </c>
      <c r="AH14">
        <v>34374</v>
      </c>
      <c r="AI14">
        <v>0</v>
      </c>
      <c r="AJ14">
        <v>0</v>
      </c>
      <c r="AK14">
        <v>0</v>
      </c>
      <c r="AL14">
        <v>0</v>
      </c>
      <c r="AM14">
        <v>21561</v>
      </c>
      <c r="AN14">
        <v>0</v>
      </c>
      <c r="AO14">
        <v>0</v>
      </c>
      <c r="AP14">
        <v>21561</v>
      </c>
      <c r="AQ14">
        <v>0</v>
      </c>
      <c r="AR14">
        <v>55935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55935</v>
      </c>
      <c r="BL14">
        <v>318745</v>
      </c>
      <c r="BM14">
        <v>9240</v>
      </c>
      <c r="BN14">
        <v>5791</v>
      </c>
      <c r="BO14">
        <v>10719</v>
      </c>
      <c r="BP14">
        <v>0</v>
      </c>
      <c r="BQ14">
        <f>LIBRO[[#This Row],[MUTUAL]]+LIBRO[[#This Row],[SIS]]+LIBRO[[#This Row],[AFC Empresa]]+LIBRO[[#This Row],[Total Haberes]]</f>
        <v>400430</v>
      </c>
    </row>
    <row r="15" spans="1:69" x14ac:dyDescent="0.25">
      <c r="A15" t="s">
        <v>155</v>
      </c>
      <c r="B15" t="s">
        <v>156</v>
      </c>
      <c r="C15" t="s">
        <v>90</v>
      </c>
      <c r="D15" t="s">
        <v>157</v>
      </c>
      <c r="E15" t="s">
        <v>72</v>
      </c>
      <c r="F15" t="s">
        <v>158</v>
      </c>
      <c r="G15">
        <v>11</v>
      </c>
      <c r="I15">
        <v>0</v>
      </c>
      <c r="J15">
        <v>0</v>
      </c>
      <c r="K15">
        <v>0</v>
      </c>
      <c r="L15">
        <v>0</v>
      </c>
      <c r="O15">
        <v>197834</v>
      </c>
      <c r="P15">
        <v>0</v>
      </c>
      <c r="Q15">
        <v>0</v>
      </c>
      <c r="R15">
        <v>49459</v>
      </c>
      <c r="S15">
        <v>0</v>
      </c>
      <c r="T15">
        <v>0</v>
      </c>
      <c r="U15">
        <v>0</v>
      </c>
      <c r="V15">
        <v>0</v>
      </c>
      <c r="W15">
        <v>247293</v>
      </c>
      <c r="X15">
        <v>36667</v>
      </c>
      <c r="Y15">
        <v>36667</v>
      </c>
      <c r="Z15">
        <v>0</v>
      </c>
      <c r="AA15">
        <v>0</v>
      </c>
      <c r="AB15">
        <v>73334</v>
      </c>
      <c r="AC15">
        <v>320627</v>
      </c>
      <c r="AD15">
        <v>247293</v>
      </c>
      <c r="AE15">
        <v>201667</v>
      </c>
      <c r="AF15">
        <v>28315</v>
      </c>
      <c r="AG15">
        <v>11.45</v>
      </c>
      <c r="AH15">
        <v>28315</v>
      </c>
      <c r="AI15">
        <v>0</v>
      </c>
      <c r="AJ15">
        <v>0</v>
      </c>
      <c r="AK15">
        <v>0</v>
      </c>
      <c r="AL15">
        <v>0</v>
      </c>
      <c r="AM15">
        <v>17311</v>
      </c>
      <c r="AN15">
        <v>0</v>
      </c>
      <c r="AO15">
        <v>0</v>
      </c>
      <c r="AP15">
        <v>17311</v>
      </c>
      <c r="AQ15">
        <v>0</v>
      </c>
      <c r="AR15">
        <v>45626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45626</v>
      </c>
      <c r="BL15">
        <v>275001</v>
      </c>
      <c r="BM15">
        <v>7419</v>
      </c>
      <c r="BN15">
        <v>4649</v>
      </c>
      <c r="BO15">
        <v>8606</v>
      </c>
      <c r="BP15">
        <v>0</v>
      </c>
      <c r="BQ15">
        <f>LIBRO[[#This Row],[MUTUAL]]+LIBRO[[#This Row],[SIS]]+LIBRO[[#This Row],[AFC Empresa]]+LIBRO[[#This Row],[Total Haberes]]</f>
        <v>341301</v>
      </c>
    </row>
    <row r="16" spans="1:69" x14ac:dyDescent="0.25">
      <c r="A16" t="s">
        <v>167</v>
      </c>
      <c r="B16" t="s">
        <v>177</v>
      </c>
      <c r="F16">
        <f>SUBTOTAL(109,LIBRO[Cargo])</f>
        <v>0</v>
      </c>
      <c r="G16">
        <f>SUBTOTAL(109,LIBRO[Dias Trabajados])</f>
        <v>222</v>
      </c>
      <c r="H16">
        <f>SUBTOTAL(109,LIBRO[Horas Trabajadas])</f>
        <v>0</v>
      </c>
      <c r="I16">
        <f>SUBTOTAL(109,LIBRO[Dias Licencia])</f>
        <v>0</v>
      </c>
      <c r="J16">
        <f>SUBTOTAL(109,LIBRO[Dias Ausencia])</f>
        <v>9</v>
      </c>
      <c r="K16">
        <f>SUBTOTAL(109,LIBRO[Dias Vacaciones])</f>
        <v>0</v>
      </c>
      <c r="L16">
        <f>SUBTOTAL(109,LIBRO[Dias de Suspension])</f>
        <v>0</v>
      </c>
      <c r="M16">
        <f>SUBTOTAL(109,LIBRO[Sueldo de Suspension])</f>
        <v>0</v>
      </c>
      <c r="N16">
        <f>SUBTOTAL(109,LIBRO[Sueldo AFC de Suspension])</f>
        <v>0</v>
      </c>
      <c r="O16">
        <f>SUBTOTAL(109,LIBRO[Sueldo Base Proporcional])</f>
        <v>6107228</v>
      </c>
      <c r="P16">
        <f>SUBTOTAL(109,LIBRO[Cant Hrs Atraso])</f>
        <v>0</v>
      </c>
      <c r="Q16">
        <f>SUBTOTAL(109,LIBRO[Monto Por Atraso])</f>
        <v>0</v>
      </c>
      <c r="R16">
        <f>SUBTOTAL(109,LIBRO[Gratificacion])</f>
        <v>1181355</v>
      </c>
      <c r="S16">
        <f>SUBTOTAL(109,LIBRO[Hora Extra])</f>
        <v>0</v>
      </c>
      <c r="T16">
        <f>SUBTOTAL(109,LIBRO[Bonos Imponibles])</f>
        <v>864000</v>
      </c>
      <c r="U16">
        <f>SUBTOTAL(109,LIBRO[Total Comisiones])</f>
        <v>0</v>
      </c>
      <c r="V16">
        <f>SUBTOTAL(109,LIBRO[Semana Corrida])</f>
        <v>0</v>
      </c>
      <c r="W16">
        <f>SUBTOTAL(109,LIBRO[Total Haberes Imponibles])</f>
        <v>8152583</v>
      </c>
      <c r="X16">
        <f>SUBTOTAL(109,LIBRO[Movilizacion])</f>
        <v>951667</v>
      </c>
      <c r="Y16">
        <f>SUBTOTAL(109,LIBRO[Colacion])</f>
        <v>1041667</v>
      </c>
      <c r="Z16">
        <f>SUBTOTAL(109,LIBRO[Cargas Familiares])</f>
        <v>0</v>
      </c>
      <c r="AA16">
        <f>SUBTOTAL(109,LIBRO[Bonos No Imponibles])</f>
        <v>400000</v>
      </c>
      <c r="AB16">
        <f>SUBTOTAL(109,LIBRO[Total Haberes No Imponibles])</f>
        <v>2393334</v>
      </c>
      <c r="AC16">
        <f>SUBTOTAL(109,LIBRO[Total Haberes])</f>
        <v>10545917</v>
      </c>
      <c r="AD16">
        <f>SUBTOTAL(109,LIBRO[Base Imponible])</f>
        <v>8152583</v>
      </c>
      <c r="AE16">
        <f>SUBTOTAL(109,LIBRO[Base Tributable])</f>
        <v>6647540</v>
      </c>
      <c r="AF16">
        <f>SUBTOTAL(109,LIBRO[Total AFP])</f>
        <v>856968</v>
      </c>
      <c r="AG16">
        <f>SUBTOTAL(109,LIBRO[Tasa AFP])</f>
        <v>125.09</v>
      </c>
      <c r="AH16">
        <f>SUBTOTAL(109,LIBRO[Solo AFP])</f>
        <v>856968</v>
      </c>
      <c r="AI16">
        <f>SUBTOTAL(109,LIBRO[Adicional AFP])</f>
        <v>0</v>
      </c>
      <c r="AJ16">
        <f>SUBTOTAL(109,LIBRO[Tasa Adicional AFP])</f>
        <v>0</v>
      </c>
      <c r="AK16">
        <f>SUBTOTAL(109,LIBRO[INP])</f>
        <v>0</v>
      </c>
      <c r="AL16">
        <f>SUBTOTAL(109,LIBRO[Trabajo Pesado Empleado])</f>
        <v>0</v>
      </c>
      <c r="AM16">
        <f>SUBTOTAL(109,LIBRO[FONASA])</f>
        <v>441315</v>
      </c>
      <c r="AN16">
        <f>SUBTOTAL(109,LIBRO[ISAPRE])</f>
        <v>129365</v>
      </c>
      <c r="AO16">
        <f>SUBTOTAL(109,LIBRO[Adicional Salud])</f>
        <v>102784</v>
      </c>
      <c r="AP16">
        <f>SUBTOTAL(109,LIBRO[Total Salud])</f>
        <v>673464</v>
      </c>
      <c r="AQ16">
        <f>SUBTOTAL(109,LIBRO[AFC Empleado])</f>
        <v>0</v>
      </c>
      <c r="AR16">
        <f>SUBTOTAL(109,LIBRO[Leyes Sociales])</f>
        <v>1530432</v>
      </c>
      <c r="AS16">
        <f>SUBTOTAL(109,LIBRO[Impuesto Unico])</f>
        <v>44721</v>
      </c>
      <c r="AT16">
        <f>SUBTOTAL(109,LIBRO[Rebaja Zona Extrema])</f>
        <v>0</v>
      </c>
      <c r="AU16">
        <f>SUBTOTAL(109,LIBRO[Cta Ahorro AFP])</f>
        <v>0</v>
      </c>
      <c r="AV16">
        <f>SUBTOTAL(109,LIBRO[APV A])</f>
        <v>0</v>
      </c>
      <c r="AW16">
        <f>SUBTOTAL(109,LIBRO[APV B])</f>
        <v>0</v>
      </c>
      <c r="AX16">
        <f>SUBTOTAL(109,LIBRO[APV C])</f>
        <v>0</v>
      </c>
      <c r="AY16">
        <f>SUBTOTAL(109,LIBRO[TOTAL APV])</f>
        <v>0</v>
      </c>
      <c r="AZ16">
        <f>SUBTOTAL(109,LIBRO[Anticipos])</f>
        <v>300000</v>
      </c>
      <c r="BA16">
        <f>SUBTOTAL(109,LIBRO[Otros Descuentos])</f>
        <v>0</v>
      </c>
      <c r="BB16">
        <f>SUBTOTAL(109,LIBRO[Prestamos Caja])</f>
        <v>0</v>
      </c>
      <c r="BC16">
        <f>SUBTOTAL(109,LIBRO[Prestamo Social])</f>
        <v>0</v>
      </c>
      <c r="BD16">
        <f>SUBTOTAL(109,LIBRO[Prestamos Empresa])</f>
        <v>0</v>
      </c>
      <c r="BE16">
        <f>SUBTOTAL(109,LIBRO[Total Prestamos])</f>
        <v>0</v>
      </c>
      <c r="BF16">
        <f>SUBTOTAL(109,LIBRO[Seguros Dentales])</f>
        <v>0</v>
      </c>
      <c r="BG16">
        <f>SUBTOTAL(109,LIBRO[Ahorro Caja])</f>
        <v>0</v>
      </c>
      <c r="BH16">
        <f>SUBTOTAL(109,LIBRO[Seguros de Vida])</f>
        <v>0</v>
      </c>
      <c r="BI16">
        <f>SUBTOTAL(109,LIBRO[Cobertura de Suspension Total])</f>
        <v>0</v>
      </c>
      <c r="BJ16">
        <f>SUBTOTAL(109,LIBRO[Cobertura de Suspension])</f>
        <v>0</v>
      </c>
      <c r="BK16">
        <f>SUBTOTAL(109,LIBRO[Total Descuentos])</f>
        <v>1875153</v>
      </c>
      <c r="BL16">
        <f>SUBTOTAL(109,LIBRO[Sueldo Liquido])</f>
        <v>8670764</v>
      </c>
      <c r="BM16">
        <f>SUBTOTAL(109,LIBRO[AFC Empresa])</f>
        <v>226090</v>
      </c>
      <c r="BN16">
        <f>SUBTOTAL(109,LIBRO[SIS])</f>
        <v>141684</v>
      </c>
      <c r="BO16">
        <f>SUBTOTAL(109,LIBRO[MUTUAL])</f>
        <v>283710</v>
      </c>
      <c r="BP16">
        <f>SUBTOTAL(109,LIBRO[Caja Compensacion])</f>
        <v>0</v>
      </c>
      <c r="BQ16">
        <f>SUBTOTAL(109,LIBRO[COSTO EMPRESA])</f>
        <v>11197401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168</v>
      </c>
      <c r="G3" t="s">
        <v>169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84000</v>
      </c>
      <c r="G4">
        <v>84000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422500</v>
      </c>
      <c r="G5">
        <v>422500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228500</v>
      </c>
      <c r="G6">
        <v>228500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180000</v>
      </c>
      <c r="G7">
        <v>180000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339891</v>
      </c>
      <c r="G9">
        <v>339891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7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411000</v>
      </c>
      <c r="G11">
        <v>411000</v>
      </c>
    </row>
    <row r="12" spans="1:7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7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473000</v>
      </c>
      <c r="G13">
        <v>473000</v>
      </c>
    </row>
    <row r="14" spans="1:7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84000</v>
      </c>
      <c r="G15">
        <v>84000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1315800</v>
      </c>
      <c r="G16">
        <v>1315800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180000</v>
      </c>
      <c r="G17">
        <v>180000</v>
      </c>
    </row>
    <row r="18" spans="1:7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84000</v>
      </c>
      <c r="G18">
        <v>84000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84000</v>
      </c>
      <c r="G19">
        <v>84000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84000</v>
      </c>
      <c r="G20">
        <v>84000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258000</v>
      </c>
      <c r="G21">
        <v>258000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352872</v>
      </c>
      <c r="G22">
        <v>352872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84000</v>
      </c>
      <c r="G23">
        <v>84000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345891</v>
      </c>
      <c r="G24">
        <v>345891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7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7" x14ac:dyDescent="0.25">
      <c r="A28" t="s">
        <v>167</v>
      </c>
      <c r="F28">
        <f>SUBTOTAL(109,BONOS[Total Bonos])</f>
        <v>5011454</v>
      </c>
      <c r="G28">
        <f>SUBTOTAL(109,BONOS[BONO PRODUCCION])</f>
        <v>5011454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6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6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0</v>
      </c>
    </row>
    <row r="18" spans="1:6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6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6" x14ac:dyDescent="0.25">
      <c r="A28" t="s">
        <v>167</v>
      </c>
      <c r="F28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6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6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0</v>
      </c>
    </row>
    <row r="18" spans="1:6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6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6" x14ac:dyDescent="0.25">
      <c r="A28" t="s">
        <v>167</v>
      </c>
      <c r="F28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171</v>
      </c>
      <c r="G3" t="s">
        <v>172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400000</v>
      </c>
      <c r="G7">
        <v>400000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7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7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7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7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0</v>
      </c>
    </row>
    <row r="18" spans="1:7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7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7" x14ac:dyDescent="0.25">
      <c r="A28" t="s">
        <v>167</v>
      </c>
      <c r="F28">
        <f>SUBTOTAL(109,NOIMPONIBLE[Total Bonos No Imponibles])</f>
        <v>400000</v>
      </c>
      <c r="G28">
        <f>SUBTOTAL(109,NOIMPONIBLE[DESGASTE DE HERRAMIENTAS])</f>
        <v>400000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6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6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0</v>
      </c>
    </row>
    <row r="18" spans="1:6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6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6" x14ac:dyDescent="0.25">
      <c r="A28" t="s">
        <v>167</v>
      </c>
      <c r="F28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173</v>
      </c>
      <c r="G3" t="s">
        <v>174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50000</v>
      </c>
      <c r="G4">
        <v>50000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50000</v>
      </c>
      <c r="G7">
        <v>50000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7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7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7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7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50000</v>
      </c>
      <c r="G15">
        <v>50000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50000</v>
      </c>
      <c r="G17">
        <v>50000</v>
      </c>
    </row>
    <row r="18" spans="1:7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50000</v>
      </c>
      <c r="G18">
        <v>50000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50000</v>
      </c>
      <c r="G20">
        <v>50000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7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7" x14ac:dyDescent="0.25">
      <c r="A28" t="s">
        <v>167</v>
      </c>
      <c r="F28">
        <f>SUBTOTAL(109,ANTICIPOS[Total Anticipos])</f>
        <v>300000</v>
      </c>
      <c r="G28">
        <f>SUBTOTAL(109,ANTICIPOS[ANTICIPO DE SUELDO])</f>
        <v>300000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175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78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72</v>
      </c>
      <c r="F10">
        <v>0</v>
      </c>
    </row>
    <row r="11" spans="1:6" x14ac:dyDescent="0.25">
      <c r="A11" t="s">
        <v>97</v>
      </c>
      <c r="B11" t="s">
        <v>98</v>
      </c>
      <c r="C11" t="s">
        <v>99</v>
      </c>
      <c r="D11" t="s">
        <v>100</v>
      </c>
      <c r="E11" t="s">
        <v>78</v>
      </c>
      <c r="F11">
        <v>0</v>
      </c>
    </row>
    <row r="12" spans="1:6" x14ac:dyDescent="0.25">
      <c r="A12" t="s">
        <v>101</v>
      </c>
      <c r="B12" t="s">
        <v>102</v>
      </c>
      <c r="C12" t="s">
        <v>103</v>
      </c>
      <c r="D12" t="s">
        <v>104</v>
      </c>
      <c r="E12" t="s">
        <v>105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78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78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72</v>
      </c>
      <c r="F17">
        <v>0</v>
      </c>
    </row>
    <row r="18" spans="1:6" x14ac:dyDescent="0.25">
      <c r="A18" t="s">
        <v>127</v>
      </c>
      <c r="B18" t="s">
        <v>128</v>
      </c>
      <c r="C18" t="s">
        <v>129</v>
      </c>
      <c r="D18" t="s">
        <v>130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78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78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78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159</v>
      </c>
      <c r="B26" t="s">
        <v>160</v>
      </c>
      <c r="C26" t="s">
        <v>161</v>
      </c>
      <c r="D26" t="s">
        <v>162</v>
      </c>
      <c r="E26" t="s">
        <v>105</v>
      </c>
      <c r="F26">
        <v>0</v>
      </c>
    </row>
    <row r="27" spans="1:6" x14ac:dyDescent="0.25">
      <c r="A27" t="s">
        <v>163</v>
      </c>
      <c r="B27" t="s">
        <v>164</v>
      </c>
      <c r="C27" t="s">
        <v>165</v>
      </c>
      <c r="D27" t="s">
        <v>166</v>
      </c>
      <c r="E27" t="s">
        <v>105</v>
      </c>
      <c r="F27">
        <v>0</v>
      </c>
    </row>
    <row r="28" spans="1:6" x14ac:dyDescent="0.25">
      <c r="A28" t="s">
        <v>167</v>
      </c>
      <c r="F28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2023-10-12T14:07:03Z</dcterms:created>
  <dcterms:modified xsi:type="dcterms:W3CDTF">2023-10-12T14:11:49Z</dcterms:modified>
  <cp:category/>
</cp:coreProperties>
</file>