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430"/>
  </bookViews>
  <sheets>
    <sheet name="LIBRO" sheetId="1" r:id="rId1"/>
    <sheet name="BONOS" sheetId="2" r:id="rId2"/>
    <sheet name="HORA EXTRA" sheetId="3" r:id="rId3"/>
    <sheet name="COMISIONES" sheetId="4" r:id="rId4"/>
    <sheet name="NO IMPONIBLE" sheetId="5" r:id="rId5"/>
    <sheet name="PRESTAMOS" sheetId="6" r:id="rId6"/>
    <sheet name="ANTICIPOS" sheetId="7" r:id="rId7"/>
    <sheet name="DESCUENTOS" sheetId="8" r:id="rId8"/>
  </sheets>
  <calcPr calcId="162913"/>
</workbook>
</file>

<file path=xl/calcChain.xml><?xml version="1.0" encoding="utf-8"?>
<calcChain xmlns="http://schemas.openxmlformats.org/spreadsheetml/2006/main">
  <c r="BQ5" i="1" l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4" i="1"/>
  <c r="F28" i="8"/>
  <c r="G28" i="7"/>
  <c r="F28" i="7"/>
  <c r="F28" i="6"/>
  <c r="G28" i="5"/>
  <c r="F28" i="5"/>
  <c r="F28" i="4"/>
  <c r="F28" i="3"/>
  <c r="G28" i="2"/>
  <c r="F28" i="2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BQ20" i="1" l="1"/>
</calcChain>
</file>

<file path=xl/sharedStrings.xml><?xml version="1.0" encoding="utf-8"?>
<sst xmlns="http://schemas.openxmlformats.org/spreadsheetml/2006/main" count="1060" uniqueCount="181">
  <si>
    <t>RUT</t>
  </si>
  <si>
    <t>Nombre</t>
  </si>
  <si>
    <t>Apellido Paterno</t>
  </si>
  <si>
    <t>Apellido Materno</t>
  </si>
  <si>
    <t>Centro Negocio</t>
  </si>
  <si>
    <t>Cargo</t>
  </si>
  <si>
    <t>Dias Trabajados</t>
  </si>
  <si>
    <t>Horas Trabajadas</t>
  </si>
  <si>
    <t>Dias Licencia</t>
  </si>
  <si>
    <t>Dias Ausencia</t>
  </si>
  <si>
    <t>Dias Vacaciones</t>
  </si>
  <si>
    <t>Dias de Suspension</t>
  </si>
  <si>
    <t>Sueldo de Suspension</t>
  </si>
  <si>
    <t>Sueldo AFC de Suspension</t>
  </si>
  <si>
    <t>Sueldo Base Proporcional</t>
  </si>
  <si>
    <t>Cant Hrs Atraso</t>
  </si>
  <si>
    <t>Monto Por Atraso</t>
  </si>
  <si>
    <t>Gratificacion</t>
  </si>
  <si>
    <t>Hora Extra</t>
  </si>
  <si>
    <t>Bonos Imponibles</t>
  </si>
  <si>
    <t>Total Comisiones</t>
  </si>
  <si>
    <t>Semana Corrida</t>
  </si>
  <si>
    <t>Total Haberes Imponibles</t>
  </si>
  <si>
    <t>Movilizacion</t>
  </si>
  <si>
    <t>Colacion</t>
  </si>
  <si>
    <t>Cargas Familiares</t>
  </si>
  <si>
    <t>Bonos No Imponibles</t>
  </si>
  <si>
    <t>Total Haberes No Imponibles</t>
  </si>
  <si>
    <t>Total Haberes</t>
  </si>
  <si>
    <t>Base Imponible</t>
  </si>
  <si>
    <t>Base Tributable</t>
  </si>
  <si>
    <t>Total AFP</t>
  </si>
  <si>
    <t>Tasa AFP</t>
  </si>
  <si>
    <t>Solo AFP</t>
  </si>
  <si>
    <t>Adicional AFP</t>
  </si>
  <si>
    <t>Tasa Adicional AFP</t>
  </si>
  <si>
    <t>INP</t>
  </si>
  <si>
    <t>Trabajo Pesado Empleado</t>
  </si>
  <si>
    <t>FONASA</t>
  </si>
  <si>
    <t>ISAPRE</t>
  </si>
  <si>
    <t>Adicional Salud</t>
  </si>
  <si>
    <t>Total Salud</t>
  </si>
  <si>
    <t>AFC Empleado</t>
  </si>
  <si>
    <t>Leyes Sociales</t>
  </si>
  <si>
    <t>Impuesto Unico</t>
  </si>
  <si>
    <t>Rebaja Zona Extrema</t>
  </si>
  <si>
    <t>Cta Ahorro AFP</t>
  </si>
  <si>
    <t>APV A</t>
  </si>
  <si>
    <t>APV B</t>
  </si>
  <si>
    <t>APV C</t>
  </si>
  <si>
    <t>TOTAL APV</t>
  </si>
  <si>
    <t>Anticipos</t>
  </si>
  <si>
    <t>Otros Descuentos</t>
  </si>
  <si>
    <t>Prestamos Caja</t>
  </si>
  <si>
    <t>Prestamo Social</t>
  </si>
  <si>
    <t>Prestamos Empresa</t>
  </si>
  <si>
    <t>Total Prestamos</t>
  </si>
  <si>
    <t>Seguros Dentales</t>
  </si>
  <si>
    <t>Ahorro Caja</t>
  </si>
  <si>
    <t>Seguros de Vida</t>
  </si>
  <si>
    <t>Cobertura de Suspension Total</t>
  </si>
  <si>
    <t>Cobertura de Suspension</t>
  </si>
  <si>
    <t>Total Descuentos</t>
  </si>
  <si>
    <t>Sueldo Liquido</t>
  </si>
  <si>
    <t>AFC Empresa</t>
  </si>
  <si>
    <t>SIS</t>
  </si>
  <si>
    <t>MUTUAL</t>
  </si>
  <si>
    <t>Caja Compensacion</t>
  </si>
  <si>
    <t>13.143.234-8</t>
  </si>
  <si>
    <t>CESAR ANTONIO</t>
  </si>
  <si>
    <t>MORENO</t>
  </si>
  <si>
    <t>URRUTIA</t>
  </si>
  <si>
    <t>WOM 01</t>
  </si>
  <si>
    <t>MAESTRO OBRAS CIVILES</t>
  </si>
  <si>
    <t>20.304.289-2</t>
  </si>
  <si>
    <t>MARIA CONSTANZA</t>
  </si>
  <si>
    <t>DONOSO</t>
  </si>
  <si>
    <t>CABRERA</t>
  </si>
  <si>
    <t>ADMINISTRACION</t>
  </si>
  <si>
    <t>6.885.866-6</t>
  </si>
  <si>
    <t>JORGE LUIS</t>
  </si>
  <si>
    <t>VILLARROEL</t>
  </si>
  <si>
    <t>WOM02</t>
  </si>
  <si>
    <t>15.065.115-8</t>
  </si>
  <si>
    <t>RODRIGO ALEJANDRO</t>
  </si>
  <si>
    <t>CARDENAS</t>
  </si>
  <si>
    <t>PEREZ</t>
  </si>
  <si>
    <t>SUPERVISOR</t>
  </si>
  <si>
    <t>17.387.995-4</t>
  </si>
  <si>
    <t>LUIS SEBASTIÁN</t>
  </si>
  <si>
    <t>CASTILLO</t>
  </si>
  <si>
    <t>10.633.923-6</t>
  </si>
  <si>
    <t>MARIANO ALFONSO</t>
  </si>
  <si>
    <t>SERRANO</t>
  </si>
  <si>
    <t>MONTECINOS</t>
  </si>
  <si>
    <t>TOPOGRAFO</t>
  </si>
  <si>
    <t>18.946.337-5</t>
  </si>
  <si>
    <t>ANTHONY ALEXANDER</t>
  </si>
  <si>
    <t>OLIVARES</t>
  </si>
  <si>
    <t>MARTINEZ</t>
  </si>
  <si>
    <t>MAESTRO  OBRA CIVILES</t>
  </si>
  <si>
    <t>15.865.837-2</t>
  </si>
  <si>
    <t>SEBASTIAN RODRIGO</t>
  </si>
  <si>
    <t>MORALES</t>
  </si>
  <si>
    <t>CORNEJO</t>
  </si>
  <si>
    <t>MAESTRO OBRA CIVILES</t>
  </si>
  <si>
    <t>15.984.497-8</t>
  </si>
  <si>
    <t>CLAUDIO ANTONIO</t>
  </si>
  <si>
    <t>FLORES</t>
  </si>
  <si>
    <t>BASTIAS</t>
  </si>
  <si>
    <t>AFIN</t>
  </si>
  <si>
    <t>20.282.372-6</t>
  </si>
  <si>
    <t>PATRICIO ANDRES</t>
  </si>
  <si>
    <t>ZAVALA</t>
  </si>
  <si>
    <t>MATELUNA</t>
  </si>
  <si>
    <t>ALARIFE</t>
  </si>
  <si>
    <t>13.030.425-7</t>
  </si>
  <si>
    <t>CARLOS ANTONIO</t>
  </si>
  <si>
    <t>VALENZUELA</t>
  </si>
  <si>
    <t>SALAZAR</t>
  </si>
  <si>
    <t>MAESTRO PRIMERA</t>
  </si>
  <si>
    <t>9.451.186-0</t>
  </si>
  <si>
    <t>GUSTAVO ENRIQUE</t>
  </si>
  <si>
    <t>MELLADO</t>
  </si>
  <si>
    <t>OSES</t>
  </si>
  <si>
    <t>24.349.134-7</t>
  </si>
  <si>
    <t>JHONNY FRANCK</t>
  </si>
  <si>
    <t>ANDRADE</t>
  </si>
  <si>
    <t>18.659.490-8</t>
  </si>
  <si>
    <t>GONZALO SEBASTIAN</t>
  </si>
  <si>
    <t>PACHECO</t>
  </si>
  <si>
    <t>ARREDONDO</t>
  </si>
  <si>
    <t>11.961.183-0</t>
  </si>
  <si>
    <t>LUIS ALBERTO</t>
  </si>
  <si>
    <t>MOLINA</t>
  </si>
  <si>
    <t>HENRIQUEZ</t>
  </si>
  <si>
    <t>10.178.197-6</t>
  </si>
  <si>
    <t>MARCO ANTONIO</t>
  </si>
  <si>
    <t>FERNANDEZ</t>
  </si>
  <si>
    <t>VILLALOBOS</t>
  </si>
  <si>
    <t>7.941.864-1</t>
  </si>
  <si>
    <t>BERNABE DEL CARMEN</t>
  </si>
  <si>
    <t>CISTERNA</t>
  </si>
  <si>
    <t>CARVAJAL</t>
  </si>
  <si>
    <t>12.327.180-7</t>
  </si>
  <si>
    <t>JUAN HERMO</t>
  </si>
  <si>
    <t>PARRA</t>
  </si>
  <si>
    <t>HERRERA</t>
  </si>
  <si>
    <t>11.386.916-K</t>
  </si>
  <si>
    <t>RAUL HERNAN</t>
  </si>
  <si>
    <t>MENA</t>
  </si>
  <si>
    <t>19.716.707-6</t>
  </si>
  <si>
    <t>HERMO HERNALDO</t>
  </si>
  <si>
    <t>NAVARRETE</t>
  </si>
  <si>
    <t>21.161.290-8</t>
  </si>
  <si>
    <t>IGNACIO DAMIAN</t>
  </si>
  <si>
    <t>RODRIGUEZ</t>
  </si>
  <si>
    <t>MAESTO PRIMERA</t>
  </si>
  <si>
    <t>12.039.142-9</t>
  </si>
  <si>
    <t>ROMULO AUGUSTO</t>
  </si>
  <si>
    <t>BRUNA</t>
  </si>
  <si>
    <t>8.555.302-K</t>
  </si>
  <si>
    <t>SEGUNDO EDUARDO</t>
  </si>
  <si>
    <t>ACUÑA</t>
  </si>
  <si>
    <t>PRADENAS</t>
  </si>
  <si>
    <t>18.416.936-3</t>
  </si>
  <si>
    <t>ROBERTO MICHAEL</t>
  </si>
  <si>
    <t>DURAN</t>
  </si>
  <si>
    <t>CASTRO</t>
  </si>
  <si>
    <t>Total</t>
  </si>
  <si>
    <t>Total Bonos</t>
  </si>
  <si>
    <t>BONO PRODUCCION</t>
  </si>
  <si>
    <t>Total Hora Extra</t>
  </si>
  <si>
    <t>Total Bonos No Imponibles</t>
  </si>
  <si>
    <t>DESGASTE DE HERRAMIENTAS</t>
  </si>
  <si>
    <t>Total Anticipos</t>
  </si>
  <si>
    <t>ANTICIPO DE SUELDO</t>
  </si>
  <si>
    <t>ANTICIPO DE SUELDO&lt;N&gt;</t>
  </si>
  <si>
    <t>Total Otros Descuentos</t>
  </si>
  <si>
    <t>COSTO EMPRESA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</si>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</sst>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BRO" displayName="LIBRO" ref="A3:BQ20" totalsRowCount="1">
  <autoFilter ref="A3:BQ19"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</autoFilter>
  <tableColumns count="69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Cargo" totalsRowFunction="sum"/>
    <tableColumn id="7" name="Dias Trabajados" totalsRowFunction="sum"/>
    <tableColumn id="8" name="Horas Trabajadas" totalsRowFunction="sum"/>
    <tableColumn id="9" name="Dias Licencia" totalsRowFunction="sum"/>
    <tableColumn id="10" name="Dias Ausencia" totalsRowFunction="sum"/>
    <tableColumn id="11" name="Dias Vacaciones" totalsRowFunction="sum"/>
    <tableColumn id="12" name="Dias de Suspension" totalsRowFunction="sum"/>
    <tableColumn id="13" name="Sueldo de Suspension" totalsRowFunction="sum"/>
    <tableColumn id="14" name="Sueldo AFC de Suspension" totalsRowFunction="sum"/>
    <tableColumn id="15" name="Sueldo Base Proporcional" totalsRowFunction="sum"/>
    <tableColumn id="16" name="Cant Hrs Atraso" totalsRowFunction="sum"/>
    <tableColumn id="17" name="Monto Por Atraso" totalsRowFunction="sum"/>
    <tableColumn id="18" name="Gratificacion" totalsRowFunction="sum"/>
    <tableColumn id="19" name="Hora Extra" totalsRowFunction="sum"/>
    <tableColumn id="20" name="Bonos Imponibles" totalsRowFunction="sum"/>
    <tableColumn id="21" name="Total Comisiones" totalsRowFunction="sum"/>
    <tableColumn id="22" name="Semana Corrida" totalsRowFunction="sum"/>
    <tableColumn id="23" name="Total Haberes Imponibles" totalsRowFunction="sum"/>
    <tableColumn id="24" name="Movilizacion" totalsRowFunction="sum"/>
    <tableColumn id="25" name="Colacion" totalsRowFunction="sum"/>
    <tableColumn id="26" name="Cargas Familiares" totalsRowFunction="sum"/>
    <tableColumn id="27" name="Bonos No Imponibles" totalsRowFunction="sum"/>
    <tableColumn id="28" name="Total Haberes No Imponibles" totalsRowFunction="sum"/>
    <tableColumn id="29" name="Total Haberes" totalsRowFunction="sum"/>
    <tableColumn id="30" name="Base Imponible" totalsRowFunction="sum"/>
    <tableColumn id="31" name="Base Tributable" totalsRowFunction="sum"/>
    <tableColumn id="32" name="Total AFP" totalsRowFunction="sum"/>
    <tableColumn id="33" name="Tasa AFP" totalsRowFunction="sum"/>
    <tableColumn id="34" name="Solo AFP" totalsRowFunction="sum"/>
    <tableColumn id="35" name="Adicional AFP" totalsRowFunction="sum"/>
    <tableColumn id="36" name="Tasa Adicional AFP" totalsRowFunction="sum"/>
    <tableColumn id="37" name="INP" totalsRowFunction="sum"/>
    <tableColumn id="38" name="Trabajo Pesado Empleado" totalsRowFunction="sum"/>
    <tableColumn id="39" name="FONASA" totalsRowFunction="sum"/>
    <tableColumn id="40" name="ISAPRE" totalsRowFunction="sum"/>
    <tableColumn id="41" name="Adicional Salud" totalsRowFunction="sum"/>
    <tableColumn id="42" name="Total Salud" totalsRowFunction="sum"/>
    <tableColumn id="43" name="AFC Empleado" totalsRowFunction="sum"/>
    <tableColumn id="44" name="Leyes Sociales" totalsRowFunction="sum"/>
    <tableColumn id="45" name="Impuesto Unico" totalsRowFunction="sum"/>
    <tableColumn id="46" name="Rebaja Zona Extrema" totalsRowFunction="sum"/>
    <tableColumn id="47" name="Cta Ahorro AFP" totalsRowFunction="sum"/>
    <tableColumn id="48" name="APV A" totalsRowFunction="sum"/>
    <tableColumn id="49" name="APV B" totalsRowFunction="sum"/>
    <tableColumn id="50" name="APV C" totalsRowFunction="sum"/>
    <tableColumn id="51" name="TOTAL APV" totalsRowFunction="sum"/>
    <tableColumn id="52" name="Anticipos" totalsRowFunction="sum"/>
    <tableColumn id="53" name="Otros Descuentos" totalsRowFunction="sum"/>
    <tableColumn id="54" name="Prestamos Caja" totalsRowFunction="sum"/>
    <tableColumn id="55" name="Prestamo Social" totalsRowFunction="sum"/>
    <tableColumn id="56" name="Prestamos Empresa" totalsRowFunction="sum"/>
    <tableColumn id="57" name="Total Prestamos" totalsRowFunction="sum"/>
    <tableColumn id="58" name="Seguros Dentales" totalsRowFunction="sum"/>
    <tableColumn id="59" name="Ahorro Caja" totalsRowFunction="sum"/>
    <tableColumn id="60" name="Seguros de Vida" totalsRowFunction="sum"/>
    <tableColumn id="61" name="Cobertura de Suspension Total" totalsRowFunction="sum"/>
    <tableColumn id="62" name="Cobertura de Suspension" totalsRowFunction="sum"/>
    <tableColumn id="63" name="Total Descuentos" totalsRowFunction="sum"/>
    <tableColumn id="64" name="Sueldo Liquido" totalsRowFunction="sum"/>
    <tableColumn id="65" name="AFC Empresa" totalsRowFunction="sum"/>
    <tableColumn id="66" name="SIS" totalsRowFunction="sum"/>
    <tableColumn id="67" name="MUTUAL" totalsRowFunction="sum"/>
    <tableColumn id="68" name="Caja Compensacion" totalsRowFunction="sum"/>
    <tableColumn id="69" name="COSTO EMPRESA" totalsRowFunction="sum">
      <calculatedColumnFormula>LIBRO[[#This Row],[MUTUAL]]+LIBRO[[#This Row],[SIS]]+LIBRO[[#This Row],[AFC Empresa]]+LIBRO[[#This Row],[Total Haberes]]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BONOS" displayName="BONOS" ref="A3:G28" totalsRowCount="1">
  <autoFilter ref="A3:G27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" totalsRowFunction="sum"/>
    <tableColumn id="7" name="BONO PRODUCCION" totalsRowFunction="sum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3" name="HORAEXTRA" displayName="HORAEXTRA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Hora Extra" totalsRowFunction="sum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4" name="COMISIONES" displayName="COMISIONES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Comisiones" totalsRowFunction="sum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5" name="NOIMPONIBLE" displayName="NOIMPONIBLE" ref="A3:G28" totalsRowCount="1">
  <autoFilter ref="A3:G27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 No Imponibles" totalsRowFunction="sum"/>
    <tableColumn id="7" name="DESGASTE DE HERRAMIENTAS" totalsRowFunction="sum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6" name="PRESTAMOS" displayName="PRESTAMOS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Prestamos" totalsRowFunction="sum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7" name="ANTICIPOS" displayName="ANTICIPOS" ref="A3:H28" totalsRowCount="1">
  <autoFilter ref="A3:H27">
    <filterColumn colId="5" hiddenButton="1"/>
    <filterColumn colId="6" hiddenButton="1"/>
    <filterColumn colId="7" hiddenButton="1"/>
  </autoFilter>
  <tableColumns count="8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Anticipos" totalsRowFunction="sum"/>
    <tableColumn id="7" name="ANTICIPO DE SUELDO" totalsRowFunction="sum"/>
    <tableColumn id="8" name="ANTICIPO DE SUELDO&lt;N&gt;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8" name="DESCUENTOS" displayName="DESCUENTOS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Otros Descuentos" totalsRowFunction="sum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Q20"/>
  <sheetViews>
    <sheetView tabSelected="1" workbookViewId="0">
      <selection activeCell="G25" sqref="G25"/>
    </sheetView>
  </sheetViews>
  <sheetFormatPr baseColWidth="10" defaultColWidth="9.140625" defaultRowHeight="15" x14ac:dyDescent="0.25"/>
  <sheetData>
    <row r="3" spans="1:6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  <c r="BM3" t="s">
        <v>64</v>
      </c>
      <c r="BN3" t="s">
        <v>65</v>
      </c>
      <c r="BO3" t="s">
        <v>66</v>
      </c>
      <c r="BP3" t="s">
        <v>67</v>
      </c>
      <c r="BQ3" t="s">
        <v>179</v>
      </c>
    </row>
    <row r="4" spans="1:69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 t="s">
        <v>73</v>
      </c>
      <c r="G4">
        <v>30</v>
      </c>
      <c r="H4">
        <v>0</v>
      </c>
      <c r="I4">
        <v>0</v>
      </c>
      <c r="J4">
        <v>0</v>
      </c>
      <c r="K4">
        <v>0</v>
      </c>
      <c r="L4">
        <v>0</v>
      </c>
      <c r="O4">
        <v>538358</v>
      </c>
      <c r="P4">
        <v>0</v>
      </c>
      <c r="Q4">
        <v>0</v>
      </c>
      <c r="R4">
        <v>134590</v>
      </c>
      <c r="S4">
        <v>0</v>
      </c>
      <c r="T4">
        <v>0</v>
      </c>
      <c r="U4">
        <v>0</v>
      </c>
      <c r="V4">
        <v>0</v>
      </c>
      <c r="W4">
        <v>672948</v>
      </c>
      <c r="X4">
        <v>200000</v>
      </c>
      <c r="Y4">
        <v>200000</v>
      </c>
      <c r="Z4">
        <v>0</v>
      </c>
      <c r="AA4">
        <v>0</v>
      </c>
      <c r="AB4">
        <v>400000</v>
      </c>
      <c r="AC4">
        <v>1072948</v>
      </c>
      <c r="AD4">
        <v>672948</v>
      </c>
      <c r="AE4">
        <v>550001</v>
      </c>
      <c r="AF4">
        <v>75841</v>
      </c>
      <c r="AG4">
        <v>11.27</v>
      </c>
      <c r="AH4">
        <v>75841</v>
      </c>
      <c r="AI4">
        <v>0</v>
      </c>
      <c r="AJ4">
        <v>0</v>
      </c>
      <c r="AK4">
        <v>0</v>
      </c>
      <c r="AL4">
        <v>0</v>
      </c>
      <c r="AM4">
        <v>47106</v>
      </c>
      <c r="AN4">
        <v>0</v>
      </c>
      <c r="AO4">
        <v>0</v>
      </c>
      <c r="AP4">
        <v>47106</v>
      </c>
      <c r="AQ4">
        <v>0</v>
      </c>
      <c r="AR4">
        <v>122947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100000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222947</v>
      </c>
      <c r="BL4">
        <v>850001</v>
      </c>
      <c r="BM4">
        <v>20188</v>
      </c>
      <c r="BN4">
        <v>9892</v>
      </c>
      <c r="BO4">
        <v>23419</v>
      </c>
      <c r="BP4">
        <v>0</v>
      </c>
      <c r="BQ4">
        <f>LIBRO[[#This Row],[MUTUAL]]+LIBRO[[#This Row],[SIS]]+LIBRO[[#This Row],[AFC Empresa]]+LIBRO[[#This Row],[Total Haberes]]</f>
        <v>1126447</v>
      </c>
    </row>
    <row r="5" spans="1:69" x14ac:dyDescent="0.25">
      <c r="A5" t="s">
        <v>88</v>
      </c>
      <c r="B5" t="s">
        <v>89</v>
      </c>
      <c r="C5" t="s">
        <v>90</v>
      </c>
      <c r="D5" t="s">
        <v>90</v>
      </c>
      <c r="E5" t="s">
        <v>72</v>
      </c>
      <c r="F5" t="s">
        <v>73</v>
      </c>
      <c r="G5">
        <v>30</v>
      </c>
      <c r="H5">
        <v>0</v>
      </c>
      <c r="I5">
        <v>0</v>
      </c>
      <c r="J5">
        <v>0</v>
      </c>
      <c r="K5">
        <v>0</v>
      </c>
      <c r="L5">
        <v>0</v>
      </c>
      <c r="O5">
        <v>539546</v>
      </c>
      <c r="P5">
        <v>0</v>
      </c>
      <c r="Q5">
        <v>0</v>
      </c>
      <c r="R5">
        <v>134887</v>
      </c>
      <c r="S5">
        <v>0</v>
      </c>
      <c r="T5">
        <v>168000</v>
      </c>
      <c r="U5">
        <v>0</v>
      </c>
      <c r="V5">
        <v>0</v>
      </c>
      <c r="W5">
        <v>842433</v>
      </c>
      <c r="X5">
        <v>100000</v>
      </c>
      <c r="Y5">
        <v>100000</v>
      </c>
      <c r="Z5">
        <v>0</v>
      </c>
      <c r="AA5">
        <v>0</v>
      </c>
      <c r="AB5">
        <v>200000</v>
      </c>
      <c r="AC5">
        <v>1042433</v>
      </c>
      <c r="AD5">
        <v>842433</v>
      </c>
      <c r="AE5">
        <v>687004</v>
      </c>
      <c r="AF5">
        <v>96459</v>
      </c>
      <c r="AG5">
        <v>11.45</v>
      </c>
      <c r="AH5">
        <v>96459</v>
      </c>
      <c r="AI5">
        <v>0</v>
      </c>
      <c r="AJ5">
        <v>0</v>
      </c>
      <c r="AK5">
        <v>0</v>
      </c>
      <c r="AL5">
        <v>0</v>
      </c>
      <c r="AM5">
        <v>58970</v>
      </c>
      <c r="AN5">
        <v>0</v>
      </c>
      <c r="AO5">
        <v>0</v>
      </c>
      <c r="AP5">
        <v>58970</v>
      </c>
      <c r="AQ5">
        <v>0</v>
      </c>
      <c r="AR5">
        <v>155429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100000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255429</v>
      </c>
      <c r="BL5">
        <v>787004</v>
      </c>
      <c r="BM5">
        <v>25273</v>
      </c>
      <c r="BN5">
        <v>12384</v>
      </c>
      <c r="BO5">
        <v>29317</v>
      </c>
      <c r="BP5">
        <v>0</v>
      </c>
      <c r="BQ5">
        <f>LIBRO[[#This Row],[MUTUAL]]+LIBRO[[#This Row],[SIS]]+LIBRO[[#This Row],[AFC Empresa]]+LIBRO[[#This Row],[Total Haberes]]</f>
        <v>1109407</v>
      </c>
    </row>
    <row r="6" spans="1:69" x14ac:dyDescent="0.25">
      <c r="A6" t="s">
        <v>91</v>
      </c>
      <c r="B6" t="s">
        <v>92</v>
      </c>
      <c r="C6" t="s">
        <v>93</v>
      </c>
      <c r="D6" t="s">
        <v>94</v>
      </c>
      <c r="E6" t="s">
        <v>72</v>
      </c>
      <c r="F6" t="s">
        <v>95</v>
      </c>
      <c r="G6">
        <v>30</v>
      </c>
      <c r="H6">
        <v>0</v>
      </c>
      <c r="I6">
        <v>0</v>
      </c>
      <c r="J6">
        <v>0</v>
      </c>
      <c r="K6">
        <v>0</v>
      </c>
      <c r="L6">
        <v>0</v>
      </c>
      <c r="O6">
        <v>1051134</v>
      </c>
      <c r="P6">
        <v>0</v>
      </c>
      <c r="Q6">
        <v>0</v>
      </c>
      <c r="R6">
        <v>182083</v>
      </c>
      <c r="S6">
        <v>0</v>
      </c>
      <c r="T6">
        <v>230000</v>
      </c>
      <c r="U6">
        <v>0</v>
      </c>
      <c r="V6">
        <v>0</v>
      </c>
      <c r="W6">
        <v>1463217</v>
      </c>
      <c r="X6">
        <v>150000</v>
      </c>
      <c r="Y6">
        <v>150000</v>
      </c>
      <c r="Z6">
        <v>0</v>
      </c>
      <c r="AA6">
        <v>100000</v>
      </c>
      <c r="AB6">
        <v>400000</v>
      </c>
      <c r="AC6">
        <v>1863217</v>
      </c>
      <c r="AD6">
        <v>1463217</v>
      </c>
      <c r="AE6">
        <v>1193254</v>
      </c>
      <c r="AF6">
        <v>167538</v>
      </c>
      <c r="AG6">
        <v>11.45</v>
      </c>
      <c r="AH6">
        <v>167538</v>
      </c>
      <c r="AI6">
        <v>0</v>
      </c>
      <c r="AJ6">
        <v>0</v>
      </c>
      <c r="AK6">
        <v>0</v>
      </c>
      <c r="AL6">
        <v>0</v>
      </c>
      <c r="AM6">
        <v>102425</v>
      </c>
      <c r="AN6">
        <v>0</v>
      </c>
      <c r="AO6">
        <v>0</v>
      </c>
      <c r="AP6">
        <v>102425</v>
      </c>
      <c r="AQ6">
        <v>0</v>
      </c>
      <c r="AR6">
        <v>269963</v>
      </c>
      <c r="AS6">
        <v>13054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250000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533017</v>
      </c>
      <c r="BL6">
        <v>1330200</v>
      </c>
      <c r="BM6">
        <v>43897</v>
      </c>
      <c r="BN6">
        <v>21509</v>
      </c>
      <c r="BO6">
        <v>50920</v>
      </c>
      <c r="BP6">
        <v>0</v>
      </c>
      <c r="BQ6">
        <f>LIBRO[[#This Row],[MUTUAL]]+LIBRO[[#This Row],[SIS]]+LIBRO[[#This Row],[AFC Empresa]]+LIBRO[[#This Row],[Total Haberes]]</f>
        <v>1979543</v>
      </c>
    </row>
    <row r="7" spans="1:69" x14ac:dyDescent="0.25">
      <c r="A7" t="s">
        <v>96</v>
      </c>
      <c r="B7" t="s">
        <v>97</v>
      </c>
      <c r="C7" t="s">
        <v>98</v>
      </c>
      <c r="D7" t="s">
        <v>99</v>
      </c>
      <c r="E7" t="s">
        <v>72</v>
      </c>
      <c r="F7" t="s">
        <v>100</v>
      </c>
      <c r="G7">
        <v>30</v>
      </c>
      <c r="H7">
        <v>0</v>
      </c>
      <c r="I7">
        <v>0</v>
      </c>
      <c r="J7">
        <v>0</v>
      </c>
      <c r="K7">
        <v>0</v>
      </c>
      <c r="L7">
        <v>0</v>
      </c>
      <c r="O7">
        <v>485320</v>
      </c>
      <c r="P7">
        <v>0</v>
      </c>
      <c r="Q7">
        <v>0</v>
      </c>
      <c r="R7">
        <v>121330</v>
      </c>
      <c r="S7">
        <v>0</v>
      </c>
      <c r="T7">
        <v>310000</v>
      </c>
      <c r="U7">
        <v>0</v>
      </c>
      <c r="V7">
        <v>0</v>
      </c>
      <c r="W7">
        <v>916650</v>
      </c>
      <c r="X7">
        <v>150000</v>
      </c>
      <c r="Y7">
        <v>100000</v>
      </c>
      <c r="Z7">
        <v>0</v>
      </c>
      <c r="AA7">
        <v>0</v>
      </c>
      <c r="AB7">
        <v>250000</v>
      </c>
      <c r="AC7">
        <v>1166650</v>
      </c>
      <c r="AD7">
        <v>916650</v>
      </c>
      <c r="AE7">
        <v>755502</v>
      </c>
      <c r="AF7">
        <v>96982</v>
      </c>
      <c r="AG7">
        <v>10.58</v>
      </c>
      <c r="AH7">
        <v>96982</v>
      </c>
      <c r="AI7">
        <v>0</v>
      </c>
      <c r="AJ7">
        <v>0</v>
      </c>
      <c r="AK7">
        <v>0</v>
      </c>
      <c r="AL7">
        <v>0</v>
      </c>
      <c r="AM7">
        <v>64166</v>
      </c>
      <c r="AN7">
        <v>0</v>
      </c>
      <c r="AO7">
        <v>0</v>
      </c>
      <c r="AP7">
        <v>64166</v>
      </c>
      <c r="AQ7">
        <v>0</v>
      </c>
      <c r="AR7">
        <v>161148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100000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261148</v>
      </c>
      <c r="BL7">
        <v>905502</v>
      </c>
      <c r="BM7">
        <v>27500</v>
      </c>
      <c r="BN7">
        <v>13475</v>
      </c>
      <c r="BO7">
        <v>31899</v>
      </c>
      <c r="BP7">
        <v>0</v>
      </c>
      <c r="BQ7">
        <f>LIBRO[[#This Row],[MUTUAL]]+LIBRO[[#This Row],[SIS]]+LIBRO[[#This Row],[AFC Empresa]]+LIBRO[[#This Row],[Total Haberes]]</f>
        <v>1239524</v>
      </c>
    </row>
    <row r="8" spans="1:69" x14ac:dyDescent="0.25">
      <c r="A8" t="s">
        <v>101</v>
      </c>
      <c r="B8" t="s">
        <v>102</v>
      </c>
      <c r="C8" t="s">
        <v>103</v>
      </c>
      <c r="D8" t="s">
        <v>104</v>
      </c>
      <c r="E8" t="s">
        <v>72</v>
      </c>
      <c r="F8" t="s">
        <v>105</v>
      </c>
      <c r="G8">
        <v>30</v>
      </c>
      <c r="H8">
        <v>0</v>
      </c>
      <c r="I8">
        <v>0</v>
      </c>
      <c r="J8">
        <v>0</v>
      </c>
      <c r="K8">
        <v>0</v>
      </c>
      <c r="L8">
        <v>0</v>
      </c>
      <c r="O8">
        <v>490496</v>
      </c>
      <c r="P8">
        <v>0</v>
      </c>
      <c r="Q8">
        <v>0</v>
      </c>
      <c r="R8">
        <v>122624</v>
      </c>
      <c r="S8">
        <v>0</v>
      </c>
      <c r="T8">
        <v>312000</v>
      </c>
      <c r="U8">
        <v>0</v>
      </c>
      <c r="V8">
        <v>0</v>
      </c>
      <c r="W8">
        <v>925120</v>
      </c>
      <c r="X8">
        <v>100000</v>
      </c>
      <c r="Y8">
        <v>100000</v>
      </c>
      <c r="Z8">
        <v>0</v>
      </c>
      <c r="AA8">
        <v>0</v>
      </c>
      <c r="AB8">
        <v>200000</v>
      </c>
      <c r="AC8">
        <v>1125120</v>
      </c>
      <c r="AD8">
        <v>925120</v>
      </c>
      <c r="AE8">
        <v>754436</v>
      </c>
      <c r="AF8">
        <v>105926</v>
      </c>
      <c r="AG8">
        <v>11.45</v>
      </c>
      <c r="AH8">
        <v>105926</v>
      </c>
      <c r="AI8">
        <v>0</v>
      </c>
      <c r="AJ8">
        <v>0</v>
      </c>
      <c r="AK8">
        <v>0</v>
      </c>
      <c r="AL8">
        <v>0</v>
      </c>
      <c r="AM8">
        <v>64758</v>
      </c>
      <c r="AN8">
        <v>0</v>
      </c>
      <c r="AO8">
        <v>0</v>
      </c>
      <c r="AP8">
        <v>64758</v>
      </c>
      <c r="AQ8">
        <v>0</v>
      </c>
      <c r="AR8">
        <v>170684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100000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270684</v>
      </c>
      <c r="BL8">
        <v>854436</v>
      </c>
      <c r="BM8">
        <v>27754</v>
      </c>
      <c r="BN8">
        <v>13599</v>
      </c>
      <c r="BO8">
        <v>32194</v>
      </c>
      <c r="BP8">
        <v>0</v>
      </c>
      <c r="BQ8">
        <f>LIBRO[[#This Row],[MUTUAL]]+LIBRO[[#This Row],[SIS]]+LIBRO[[#This Row],[AFC Empresa]]+LIBRO[[#This Row],[Total Haberes]]</f>
        <v>1198667</v>
      </c>
    </row>
    <row r="9" spans="1:69" x14ac:dyDescent="0.25">
      <c r="A9" t="s">
        <v>111</v>
      </c>
      <c r="B9" t="s">
        <v>112</v>
      </c>
      <c r="C9" t="s">
        <v>113</v>
      </c>
      <c r="D9" t="s">
        <v>114</v>
      </c>
      <c r="E9" t="s">
        <v>72</v>
      </c>
      <c r="F9" t="s">
        <v>115</v>
      </c>
      <c r="G9">
        <v>30</v>
      </c>
      <c r="H9">
        <v>0</v>
      </c>
      <c r="I9">
        <v>0</v>
      </c>
      <c r="J9">
        <v>0</v>
      </c>
      <c r="K9">
        <v>0</v>
      </c>
      <c r="L9">
        <v>0</v>
      </c>
      <c r="O9">
        <v>485318</v>
      </c>
      <c r="P9">
        <v>0</v>
      </c>
      <c r="Q9">
        <v>0</v>
      </c>
      <c r="R9">
        <v>121330</v>
      </c>
      <c r="S9">
        <v>0</v>
      </c>
      <c r="T9">
        <v>110000</v>
      </c>
      <c r="U9">
        <v>0</v>
      </c>
      <c r="V9">
        <v>0</v>
      </c>
      <c r="W9">
        <v>716648</v>
      </c>
      <c r="X9">
        <v>50000</v>
      </c>
      <c r="Y9">
        <v>100000</v>
      </c>
      <c r="Z9">
        <v>0</v>
      </c>
      <c r="AA9">
        <v>0</v>
      </c>
      <c r="AB9">
        <v>150000</v>
      </c>
      <c r="AC9">
        <v>866648</v>
      </c>
      <c r="AD9">
        <v>716648</v>
      </c>
      <c r="AE9">
        <v>590662</v>
      </c>
      <c r="AF9">
        <v>75821</v>
      </c>
      <c r="AG9">
        <v>10.58</v>
      </c>
      <c r="AH9">
        <v>75821</v>
      </c>
      <c r="AI9">
        <v>0</v>
      </c>
      <c r="AJ9">
        <v>0</v>
      </c>
      <c r="AK9">
        <v>0</v>
      </c>
      <c r="AL9">
        <v>0</v>
      </c>
      <c r="AM9">
        <v>50165</v>
      </c>
      <c r="AN9">
        <v>0</v>
      </c>
      <c r="AO9">
        <v>0</v>
      </c>
      <c r="AP9">
        <v>50165</v>
      </c>
      <c r="AQ9">
        <v>0</v>
      </c>
      <c r="AR9">
        <v>125986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100000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225986</v>
      </c>
      <c r="BL9">
        <v>640662</v>
      </c>
      <c r="BM9">
        <v>21499</v>
      </c>
      <c r="BN9">
        <v>10535</v>
      </c>
      <c r="BO9">
        <v>24939</v>
      </c>
      <c r="BP9">
        <v>0</v>
      </c>
      <c r="BQ9">
        <f>LIBRO[[#This Row],[MUTUAL]]+LIBRO[[#This Row],[SIS]]+LIBRO[[#This Row],[AFC Empresa]]+LIBRO[[#This Row],[Total Haberes]]</f>
        <v>923621</v>
      </c>
    </row>
    <row r="10" spans="1:69" x14ac:dyDescent="0.25">
      <c r="A10" t="s">
        <v>116</v>
      </c>
      <c r="B10" t="s">
        <v>117</v>
      </c>
      <c r="C10" t="s">
        <v>118</v>
      </c>
      <c r="D10" t="s">
        <v>119</v>
      </c>
      <c r="E10" t="s">
        <v>72</v>
      </c>
      <c r="F10" t="s">
        <v>120</v>
      </c>
      <c r="G10">
        <v>26</v>
      </c>
      <c r="H10">
        <v>0</v>
      </c>
      <c r="I10">
        <v>0</v>
      </c>
      <c r="J10">
        <v>0</v>
      </c>
      <c r="K10">
        <v>0</v>
      </c>
      <c r="L10">
        <v>0</v>
      </c>
      <c r="O10">
        <v>554256</v>
      </c>
      <c r="P10">
        <v>0</v>
      </c>
      <c r="Q10">
        <v>0</v>
      </c>
      <c r="R10">
        <v>138564</v>
      </c>
      <c r="S10">
        <v>0</v>
      </c>
      <c r="T10">
        <v>147000</v>
      </c>
      <c r="U10">
        <v>0</v>
      </c>
      <c r="V10">
        <v>0</v>
      </c>
      <c r="W10">
        <v>839820</v>
      </c>
      <c r="X10">
        <v>86667</v>
      </c>
      <c r="Y10">
        <v>86667</v>
      </c>
      <c r="Z10">
        <v>0</v>
      </c>
      <c r="AA10">
        <v>0</v>
      </c>
      <c r="AB10">
        <v>173334</v>
      </c>
      <c r="AC10">
        <v>1013154</v>
      </c>
      <c r="AD10">
        <v>839820</v>
      </c>
      <c r="AE10">
        <v>606006</v>
      </c>
      <c r="AF10">
        <v>96075</v>
      </c>
      <c r="AG10">
        <v>11.44</v>
      </c>
      <c r="AH10">
        <v>96075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58787</v>
      </c>
      <c r="AO10">
        <v>78952</v>
      </c>
      <c r="AP10">
        <v>137739</v>
      </c>
      <c r="AQ10">
        <v>0</v>
      </c>
      <c r="AR10">
        <v>233814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100000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333814</v>
      </c>
      <c r="BL10">
        <v>679340</v>
      </c>
      <c r="BM10">
        <v>25195</v>
      </c>
      <c r="BN10">
        <v>12345</v>
      </c>
      <c r="BO10">
        <v>29226</v>
      </c>
      <c r="BP10">
        <v>0</v>
      </c>
      <c r="BQ10">
        <f>LIBRO[[#This Row],[MUTUAL]]+LIBRO[[#This Row],[SIS]]+LIBRO[[#This Row],[AFC Empresa]]+LIBRO[[#This Row],[Total Haberes]]</f>
        <v>1079920</v>
      </c>
    </row>
    <row r="11" spans="1:69" x14ac:dyDescent="0.25">
      <c r="A11" t="s">
        <v>121</v>
      </c>
      <c r="B11" t="s">
        <v>122</v>
      </c>
      <c r="C11" t="s">
        <v>123</v>
      </c>
      <c r="D11" t="s">
        <v>124</v>
      </c>
      <c r="E11" t="s">
        <v>72</v>
      </c>
      <c r="F11" t="s">
        <v>120</v>
      </c>
      <c r="G11">
        <v>26</v>
      </c>
      <c r="H11">
        <v>0</v>
      </c>
      <c r="I11">
        <v>0</v>
      </c>
      <c r="J11">
        <v>0</v>
      </c>
      <c r="K11">
        <v>0</v>
      </c>
      <c r="L11">
        <v>0</v>
      </c>
      <c r="O11">
        <v>508993</v>
      </c>
      <c r="P11">
        <v>0</v>
      </c>
      <c r="Q11">
        <v>0</v>
      </c>
      <c r="R11">
        <v>127248</v>
      </c>
      <c r="S11">
        <v>0</v>
      </c>
      <c r="T11">
        <v>225000</v>
      </c>
      <c r="U11">
        <v>0</v>
      </c>
      <c r="V11">
        <v>0</v>
      </c>
      <c r="W11">
        <v>861241</v>
      </c>
      <c r="X11">
        <v>65000</v>
      </c>
      <c r="Y11">
        <v>65000</v>
      </c>
      <c r="Z11">
        <v>0</v>
      </c>
      <c r="AA11">
        <v>0</v>
      </c>
      <c r="AB11">
        <v>130000</v>
      </c>
      <c r="AC11">
        <v>991241</v>
      </c>
      <c r="AD11">
        <v>861241</v>
      </c>
      <c r="AE11">
        <v>703892</v>
      </c>
      <c r="AF11">
        <v>97062</v>
      </c>
      <c r="AG11">
        <v>11.27</v>
      </c>
      <c r="AH11">
        <v>97062</v>
      </c>
      <c r="AI11">
        <v>0</v>
      </c>
      <c r="AJ11">
        <v>0</v>
      </c>
      <c r="AK11">
        <v>0</v>
      </c>
      <c r="AL11">
        <v>0</v>
      </c>
      <c r="AM11">
        <v>60287</v>
      </c>
      <c r="AN11">
        <v>0</v>
      </c>
      <c r="AO11">
        <v>0</v>
      </c>
      <c r="AP11">
        <v>60287</v>
      </c>
      <c r="AQ11">
        <v>0</v>
      </c>
      <c r="AR11">
        <v>157349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100000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257349</v>
      </c>
      <c r="BL11">
        <v>733892</v>
      </c>
      <c r="BM11">
        <v>25837</v>
      </c>
      <c r="BN11">
        <v>12660</v>
      </c>
      <c r="BO11">
        <v>29971</v>
      </c>
      <c r="BP11">
        <v>0</v>
      </c>
      <c r="BQ11">
        <f>LIBRO[[#This Row],[MUTUAL]]+LIBRO[[#This Row],[SIS]]+LIBRO[[#This Row],[AFC Empresa]]+LIBRO[[#This Row],[Total Haberes]]</f>
        <v>1059709</v>
      </c>
    </row>
    <row r="12" spans="1:69" x14ac:dyDescent="0.25">
      <c r="A12" t="s">
        <v>125</v>
      </c>
      <c r="B12" t="s">
        <v>126</v>
      </c>
      <c r="C12" t="s">
        <v>127</v>
      </c>
      <c r="D12" t="s">
        <v>99</v>
      </c>
      <c r="E12" t="s">
        <v>72</v>
      </c>
      <c r="F12" t="s">
        <v>120</v>
      </c>
      <c r="G12">
        <v>26</v>
      </c>
      <c r="H12">
        <v>0</v>
      </c>
      <c r="I12">
        <v>0</v>
      </c>
      <c r="J12">
        <v>0</v>
      </c>
      <c r="K12">
        <v>0</v>
      </c>
      <c r="L12">
        <v>0</v>
      </c>
      <c r="O12">
        <v>507874</v>
      </c>
      <c r="P12">
        <v>0</v>
      </c>
      <c r="Q12">
        <v>0</v>
      </c>
      <c r="R12">
        <v>126969</v>
      </c>
      <c r="S12">
        <v>0</v>
      </c>
      <c r="T12">
        <v>212000</v>
      </c>
      <c r="U12">
        <v>0</v>
      </c>
      <c r="V12">
        <v>0</v>
      </c>
      <c r="W12">
        <v>846843</v>
      </c>
      <c r="X12">
        <v>43333</v>
      </c>
      <c r="Y12">
        <v>43333</v>
      </c>
      <c r="Z12">
        <v>0</v>
      </c>
      <c r="AA12">
        <v>0</v>
      </c>
      <c r="AB12">
        <v>86666</v>
      </c>
      <c r="AC12">
        <v>933509</v>
      </c>
      <c r="AD12">
        <v>846843</v>
      </c>
      <c r="AE12">
        <v>697968</v>
      </c>
      <c r="AF12">
        <v>89596</v>
      </c>
      <c r="AG12">
        <v>10.58</v>
      </c>
      <c r="AH12">
        <v>89596</v>
      </c>
      <c r="AI12">
        <v>0</v>
      </c>
      <c r="AJ12">
        <v>0</v>
      </c>
      <c r="AK12">
        <v>0</v>
      </c>
      <c r="AL12">
        <v>0</v>
      </c>
      <c r="AM12">
        <v>59279</v>
      </c>
      <c r="AN12">
        <v>0</v>
      </c>
      <c r="AO12">
        <v>0</v>
      </c>
      <c r="AP12">
        <v>59279</v>
      </c>
      <c r="AQ12">
        <v>0</v>
      </c>
      <c r="AR12">
        <v>148875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100000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248875</v>
      </c>
      <c r="BL12">
        <v>684634</v>
      </c>
      <c r="BM12">
        <v>25405</v>
      </c>
      <c r="BN12">
        <v>12449</v>
      </c>
      <c r="BO12">
        <v>29470</v>
      </c>
      <c r="BP12">
        <v>0</v>
      </c>
      <c r="BQ12">
        <f>LIBRO[[#This Row],[MUTUAL]]+LIBRO[[#This Row],[SIS]]+LIBRO[[#This Row],[AFC Empresa]]+LIBRO[[#This Row],[Total Haberes]]</f>
        <v>1000833</v>
      </c>
    </row>
    <row r="13" spans="1:69" x14ac:dyDescent="0.25">
      <c r="A13" t="s">
        <v>132</v>
      </c>
      <c r="B13" t="s">
        <v>133</v>
      </c>
      <c r="C13" t="s">
        <v>134</v>
      </c>
      <c r="D13" t="s">
        <v>135</v>
      </c>
      <c r="E13" t="s">
        <v>72</v>
      </c>
      <c r="F13" t="s">
        <v>73</v>
      </c>
      <c r="G13">
        <v>30</v>
      </c>
      <c r="H13">
        <v>0</v>
      </c>
      <c r="I13">
        <v>0</v>
      </c>
      <c r="J13">
        <v>0</v>
      </c>
      <c r="K13">
        <v>0</v>
      </c>
      <c r="L13">
        <v>0</v>
      </c>
      <c r="O13">
        <v>539546</v>
      </c>
      <c r="P13">
        <v>0</v>
      </c>
      <c r="Q13">
        <v>0</v>
      </c>
      <c r="R13">
        <v>134887</v>
      </c>
      <c r="S13">
        <v>0</v>
      </c>
      <c r="T13">
        <v>287000</v>
      </c>
      <c r="U13">
        <v>0</v>
      </c>
      <c r="V13">
        <v>0</v>
      </c>
      <c r="W13">
        <v>961433</v>
      </c>
      <c r="X13">
        <v>100000</v>
      </c>
      <c r="Y13">
        <v>100000</v>
      </c>
      <c r="Z13">
        <v>0</v>
      </c>
      <c r="AA13">
        <v>0</v>
      </c>
      <c r="AB13">
        <v>200000</v>
      </c>
      <c r="AC13">
        <v>1161433</v>
      </c>
      <c r="AD13">
        <v>961433</v>
      </c>
      <c r="AE13">
        <v>784049</v>
      </c>
      <c r="AF13">
        <v>110084</v>
      </c>
      <c r="AG13">
        <v>11.45</v>
      </c>
      <c r="AH13">
        <v>110084</v>
      </c>
      <c r="AI13">
        <v>0</v>
      </c>
      <c r="AJ13">
        <v>0</v>
      </c>
      <c r="AK13">
        <v>0</v>
      </c>
      <c r="AL13">
        <v>0</v>
      </c>
      <c r="AM13">
        <v>67300</v>
      </c>
      <c r="AN13">
        <v>0</v>
      </c>
      <c r="AO13">
        <v>0</v>
      </c>
      <c r="AP13">
        <v>67300</v>
      </c>
      <c r="AQ13">
        <v>0</v>
      </c>
      <c r="AR13">
        <v>177384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100000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277384</v>
      </c>
      <c r="BL13">
        <v>884049</v>
      </c>
      <c r="BM13">
        <v>28843</v>
      </c>
      <c r="BN13">
        <v>14133</v>
      </c>
      <c r="BO13">
        <v>33458</v>
      </c>
      <c r="BP13">
        <v>0</v>
      </c>
      <c r="BQ13">
        <f>LIBRO[[#This Row],[MUTUAL]]+LIBRO[[#This Row],[SIS]]+LIBRO[[#This Row],[AFC Empresa]]+LIBRO[[#This Row],[Total Haberes]]</f>
        <v>1237867</v>
      </c>
    </row>
    <row r="14" spans="1:69" x14ac:dyDescent="0.25">
      <c r="A14" t="s">
        <v>136</v>
      </c>
      <c r="B14" t="s">
        <v>137</v>
      </c>
      <c r="C14" t="s">
        <v>138</v>
      </c>
      <c r="D14" t="s">
        <v>139</v>
      </c>
      <c r="E14" t="s">
        <v>72</v>
      </c>
      <c r="F14" t="s">
        <v>87</v>
      </c>
      <c r="G14">
        <v>30</v>
      </c>
      <c r="H14">
        <v>0</v>
      </c>
      <c r="I14">
        <v>0</v>
      </c>
      <c r="J14">
        <v>0</v>
      </c>
      <c r="K14">
        <v>0</v>
      </c>
      <c r="L14">
        <v>0</v>
      </c>
      <c r="O14">
        <v>1651106</v>
      </c>
      <c r="P14">
        <v>0</v>
      </c>
      <c r="Q14">
        <v>0</v>
      </c>
      <c r="R14">
        <v>182083</v>
      </c>
      <c r="S14">
        <v>0</v>
      </c>
      <c r="T14">
        <v>692800</v>
      </c>
      <c r="U14">
        <v>0</v>
      </c>
      <c r="V14">
        <v>0</v>
      </c>
      <c r="W14">
        <v>2525989</v>
      </c>
      <c r="X14">
        <v>200000</v>
      </c>
      <c r="Y14">
        <v>250000</v>
      </c>
      <c r="Z14">
        <v>0</v>
      </c>
      <c r="AA14">
        <v>0</v>
      </c>
      <c r="AB14">
        <v>450000</v>
      </c>
      <c r="AC14">
        <v>2975989</v>
      </c>
      <c r="AD14">
        <v>2525989</v>
      </c>
      <c r="AE14">
        <v>2026875</v>
      </c>
      <c r="AF14">
        <v>288973</v>
      </c>
      <c r="AG14">
        <v>11.44</v>
      </c>
      <c r="AH14">
        <v>288973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176819</v>
      </c>
      <c r="AO14">
        <v>85342</v>
      </c>
      <c r="AP14">
        <v>262161</v>
      </c>
      <c r="AQ14">
        <v>0</v>
      </c>
      <c r="AR14">
        <v>551134</v>
      </c>
      <c r="AS14">
        <v>50414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601548</v>
      </c>
      <c r="BL14">
        <v>2374441</v>
      </c>
      <c r="BM14">
        <v>75780</v>
      </c>
      <c r="BN14">
        <v>37132</v>
      </c>
      <c r="BO14">
        <v>87904</v>
      </c>
      <c r="BP14">
        <v>0</v>
      </c>
      <c r="BQ14">
        <f>LIBRO[[#This Row],[MUTUAL]]+LIBRO[[#This Row],[SIS]]+LIBRO[[#This Row],[AFC Empresa]]+LIBRO[[#This Row],[Total Haberes]]</f>
        <v>3176805</v>
      </c>
    </row>
    <row r="15" spans="1:69" x14ac:dyDescent="0.25">
      <c r="A15" t="s">
        <v>140</v>
      </c>
      <c r="B15" t="s">
        <v>141</v>
      </c>
      <c r="C15" t="s">
        <v>142</v>
      </c>
      <c r="D15" t="s">
        <v>143</v>
      </c>
      <c r="E15" t="s">
        <v>72</v>
      </c>
      <c r="F15" t="s">
        <v>105</v>
      </c>
      <c r="G15">
        <v>30</v>
      </c>
      <c r="H15">
        <v>0</v>
      </c>
      <c r="I15">
        <v>0</v>
      </c>
      <c r="J15">
        <v>0</v>
      </c>
      <c r="K15">
        <v>0</v>
      </c>
      <c r="L15">
        <v>0</v>
      </c>
      <c r="O15">
        <v>473118</v>
      </c>
      <c r="P15">
        <v>0</v>
      </c>
      <c r="Q15">
        <v>0</v>
      </c>
      <c r="R15">
        <v>118280</v>
      </c>
      <c r="S15">
        <v>0</v>
      </c>
      <c r="T15">
        <v>147000</v>
      </c>
      <c r="U15">
        <v>0</v>
      </c>
      <c r="V15">
        <v>0</v>
      </c>
      <c r="W15">
        <v>738398</v>
      </c>
      <c r="X15">
        <v>100000</v>
      </c>
      <c r="Y15">
        <v>100000</v>
      </c>
      <c r="Z15">
        <v>0</v>
      </c>
      <c r="AA15">
        <v>0</v>
      </c>
      <c r="AB15">
        <v>200000</v>
      </c>
      <c r="AC15">
        <v>938398</v>
      </c>
      <c r="AD15">
        <v>738398</v>
      </c>
      <c r="AE15">
        <v>686710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51688</v>
      </c>
      <c r="AN15">
        <v>0</v>
      </c>
      <c r="AO15">
        <v>0</v>
      </c>
      <c r="AP15">
        <v>51688</v>
      </c>
      <c r="AQ15">
        <v>0</v>
      </c>
      <c r="AR15">
        <v>51688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100000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151688</v>
      </c>
      <c r="BL15">
        <v>786710</v>
      </c>
      <c r="BM15">
        <v>0</v>
      </c>
      <c r="BN15">
        <v>0</v>
      </c>
      <c r="BO15">
        <v>25696</v>
      </c>
      <c r="BP15">
        <v>0</v>
      </c>
      <c r="BQ15">
        <f>LIBRO[[#This Row],[MUTUAL]]+LIBRO[[#This Row],[SIS]]+LIBRO[[#This Row],[AFC Empresa]]+LIBRO[[#This Row],[Total Haberes]]</f>
        <v>964094</v>
      </c>
    </row>
    <row r="16" spans="1:69" x14ac:dyDescent="0.25">
      <c r="A16" t="s">
        <v>144</v>
      </c>
      <c r="B16" t="s">
        <v>145</v>
      </c>
      <c r="C16" t="s">
        <v>146</v>
      </c>
      <c r="D16" t="s">
        <v>147</v>
      </c>
      <c r="E16" t="s">
        <v>72</v>
      </c>
      <c r="F16" t="s">
        <v>73</v>
      </c>
      <c r="G16">
        <v>30</v>
      </c>
      <c r="H16">
        <v>0</v>
      </c>
      <c r="I16">
        <v>0</v>
      </c>
      <c r="J16">
        <v>0</v>
      </c>
      <c r="K16">
        <v>0</v>
      </c>
      <c r="L16">
        <v>0</v>
      </c>
      <c r="O16">
        <v>539546</v>
      </c>
      <c r="P16">
        <v>0</v>
      </c>
      <c r="Q16">
        <v>0</v>
      </c>
      <c r="R16">
        <v>134887</v>
      </c>
      <c r="S16">
        <v>0</v>
      </c>
      <c r="T16">
        <v>0</v>
      </c>
      <c r="U16">
        <v>0</v>
      </c>
      <c r="V16">
        <v>0</v>
      </c>
      <c r="W16">
        <v>674433</v>
      </c>
      <c r="X16">
        <v>200000</v>
      </c>
      <c r="Y16">
        <v>200000</v>
      </c>
      <c r="Z16">
        <v>0</v>
      </c>
      <c r="AA16">
        <v>0</v>
      </c>
      <c r="AB16">
        <v>400000</v>
      </c>
      <c r="AC16">
        <v>1074433</v>
      </c>
      <c r="AD16">
        <v>674433</v>
      </c>
      <c r="AE16">
        <v>550000</v>
      </c>
      <c r="AF16">
        <v>77223</v>
      </c>
      <c r="AG16">
        <v>11.45</v>
      </c>
      <c r="AH16">
        <v>77223</v>
      </c>
      <c r="AI16">
        <v>0</v>
      </c>
      <c r="AJ16">
        <v>0</v>
      </c>
      <c r="AK16">
        <v>0</v>
      </c>
      <c r="AL16">
        <v>0</v>
      </c>
      <c r="AM16">
        <v>47210</v>
      </c>
      <c r="AN16">
        <v>0</v>
      </c>
      <c r="AO16">
        <v>0</v>
      </c>
      <c r="AP16">
        <v>47210</v>
      </c>
      <c r="AQ16">
        <v>0</v>
      </c>
      <c r="AR16">
        <v>124433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100000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224433</v>
      </c>
      <c r="BL16">
        <v>850000</v>
      </c>
      <c r="BM16">
        <v>20233</v>
      </c>
      <c r="BN16">
        <v>9914</v>
      </c>
      <c r="BO16">
        <v>23470</v>
      </c>
      <c r="BP16">
        <v>0</v>
      </c>
      <c r="BQ16">
        <f>LIBRO[[#This Row],[MUTUAL]]+LIBRO[[#This Row],[SIS]]+LIBRO[[#This Row],[AFC Empresa]]+LIBRO[[#This Row],[Total Haberes]]</f>
        <v>1128050</v>
      </c>
    </row>
    <row r="17" spans="1:69" x14ac:dyDescent="0.25">
      <c r="A17" t="s">
        <v>151</v>
      </c>
      <c r="B17" t="s">
        <v>152</v>
      </c>
      <c r="C17" t="s">
        <v>146</v>
      </c>
      <c r="D17" t="s">
        <v>153</v>
      </c>
      <c r="E17" t="s">
        <v>72</v>
      </c>
      <c r="F17" t="s">
        <v>73</v>
      </c>
      <c r="G17">
        <v>29</v>
      </c>
      <c r="H17">
        <v>0</v>
      </c>
      <c r="I17">
        <v>0</v>
      </c>
      <c r="J17">
        <v>1</v>
      </c>
      <c r="K17">
        <v>0</v>
      </c>
      <c r="L17">
        <v>0</v>
      </c>
      <c r="O17">
        <v>519713</v>
      </c>
      <c r="P17">
        <v>0</v>
      </c>
      <c r="Q17">
        <v>0</v>
      </c>
      <c r="R17">
        <v>129928</v>
      </c>
      <c r="S17">
        <v>0</v>
      </c>
      <c r="T17">
        <v>308000</v>
      </c>
      <c r="U17">
        <v>0</v>
      </c>
      <c r="V17">
        <v>0</v>
      </c>
      <c r="W17">
        <v>957641</v>
      </c>
      <c r="X17">
        <v>96667</v>
      </c>
      <c r="Y17">
        <v>96667</v>
      </c>
      <c r="Z17">
        <v>0</v>
      </c>
      <c r="AA17">
        <v>0</v>
      </c>
      <c r="AB17">
        <v>193334</v>
      </c>
      <c r="AC17">
        <v>1150975</v>
      </c>
      <c r="AD17">
        <v>957641</v>
      </c>
      <c r="AE17">
        <v>783733</v>
      </c>
      <c r="AF17">
        <v>106873</v>
      </c>
      <c r="AG17">
        <v>11.16</v>
      </c>
      <c r="AH17">
        <v>106873</v>
      </c>
      <c r="AI17">
        <v>0</v>
      </c>
      <c r="AJ17">
        <v>0</v>
      </c>
      <c r="AK17">
        <v>0</v>
      </c>
      <c r="AL17">
        <v>0</v>
      </c>
      <c r="AM17">
        <v>67035</v>
      </c>
      <c r="AN17">
        <v>0</v>
      </c>
      <c r="AO17">
        <v>0</v>
      </c>
      <c r="AP17">
        <v>67035</v>
      </c>
      <c r="AQ17">
        <v>0</v>
      </c>
      <c r="AR17">
        <v>173908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100000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273908</v>
      </c>
      <c r="BL17">
        <v>877067</v>
      </c>
      <c r="BM17">
        <v>28729</v>
      </c>
      <c r="BN17">
        <v>14077</v>
      </c>
      <c r="BO17">
        <v>33326</v>
      </c>
      <c r="BP17">
        <v>0</v>
      </c>
      <c r="BQ17">
        <f>LIBRO[[#This Row],[MUTUAL]]+LIBRO[[#This Row],[SIS]]+LIBRO[[#This Row],[AFC Empresa]]+LIBRO[[#This Row],[Total Haberes]]</f>
        <v>1227107</v>
      </c>
    </row>
    <row r="18" spans="1:69" x14ac:dyDescent="0.25">
      <c r="A18" t="s">
        <v>154</v>
      </c>
      <c r="B18" t="s">
        <v>155</v>
      </c>
      <c r="C18" t="s">
        <v>118</v>
      </c>
      <c r="D18" t="s">
        <v>156</v>
      </c>
      <c r="E18" t="s">
        <v>72</v>
      </c>
      <c r="F18" t="s">
        <v>157</v>
      </c>
      <c r="G18">
        <v>26</v>
      </c>
      <c r="H18">
        <v>0</v>
      </c>
      <c r="I18">
        <v>0</v>
      </c>
      <c r="J18">
        <v>0</v>
      </c>
      <c r="K18">
        <v>0</v>
      </c>
      <c r="L18">
        <v>0</v>
      </c>
      <c r="O18">
        <v>423694</v>
      </c>
      <c r="P18">
        <v>0</v>
      </c>
      <c r="Q18">
        <v>0</v>
      </c>
      <c r="R18">
        <v>105924</v>
      </c>
      <c r="S18">
        <v>0</v>
      </c>
      <c r="T18">
        <v>208000</v>
      </c>
      <c r="U18">
        <v>0</v>
      </c>
      <c r="V18">
        <v>0</v>
      </c>
      <c r="W18">
        <v>737618</v>
      </c>
      <c r="X18">
        <v>43333</v>
      </c>
      <c r="Y18">
        <v>43333</v>
      </c>
      <c r="Z18">
        <v>0</v>
      </c>
      <c r="AA18">
        <v>0</v>
      </c>
      <c r="AB18">
        <v>86666</v>
      </c>
      <c r="AC18">
        <v>824284</v>
      </c>
      <c r="AD18">
        <v>737618</v>
      </c>
      <c r="AE18">
        <v>607945</v>
      </c>
      <c r="AF18">
        <v>78040</v>
      </c>
      <c r="AG18">
        <v>10.58</v>
      </c>
      <c r="AH18">
        <v>78040</v>
      </c>
      <c r="AI18">
        <v>0</v>
      </c>
      <c r="AJ18">
        <v>0</v>
      </c>
      <c r="AK18">
        <v>0</v>
      </c>
      <c r="AL18">
        <v>0</v>
      </c>
      <c r="AM18">
        <v>51633</v>
      </c>
      <c r="AN18">
        <v>0</v>
      </c>
      <c r="AO18">
        <v>0</v>
      </c>
      <c r="AP18">
        <v>51633</v>
      </c>
      <c r="AQ18">
        <v>0</v>
      </c>
      <c r="AR18">
        <v>129673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100000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229673</v>
      </c>
      <c r="BL18">
        <v>594611</v>
      </c>
      <c r="BM18">
        <v>22129</v>
      </c>
      <c r="BN18">
        <v>10843</v>
      </c>
      <c r="BO18">
        <v>25669</v>
      </c>
      <c r="BP18">
        <v>0</v>
      </c>
      <c r="BQ18">
        <f>LIBRO[[#This Row],[MUTUAL]]+LIBRO[[#This Row],[SIS]]+LIBRO[[#This Row],[AFC Empresa]]+LIBRO[[#This Row],[Total Haberes]]</f>
        <v>882925</v>
      </c>
    </row>
    <row r="19" spans="1:69" x14ac:dyDescent="0.25">
      <c r="A19" t="s">
        <v>161</v>
      </c>
      <c r="B19" t="s">
        <v>162</v>
      </c>
      <c r="C19" t="s">
        <v>163</v>
      </c>
      <c r="D19" t="s">
        <v>164</v>
      </c>
      <c r="E19" t="s">
        <v>72</v>
      </c>
      <c r="F19" t="s">
        <v>87</v>
      </c>
      <c r="G19">
        <v>30</v>
      </c>
      <c r="H19">
        <v>0</v>
      </c>
      <c r="I19">
        <v>0</v>
      </c>
      <c r="J19">
        <v>0</v>
      </c>
      <c r="K19">
        <v>0</v>
      </c>
      <c r="L19">
        <v>0</v>
      </c>
      <c r="O19">
        <v>984999</v>
      </c>
      <c r="P19">
        <v>0</v>
      </c>
      <c r="Q19">
        <v>0</v>
      </c>
      <c r="R19">
        <v>182083</v>
      </c>
      <c r="S19">
        <v>0</v>
      </c>
      <c r="T19">
        <v>273000</v>
      </c>
      <c r="U19">
        <v>0</v>
      </c>
      <c r="V19">
        <v>0</v>
      </c>
      <c r="W19">
        <v>1440082</v>
      </c>
      <c r="X19">
        <v>100000</v>
      </c>
      <c r="Y19">
        <v>150000</v>
      </c>
      <c r="Z19">
        <v>0</v>
      </c>
      <c r="AA19">
        <v>0</v>
      </c>
      <c r="AB19">
        <v>250000</v>
      </c>
      <c r="AC19">
        <v>1690082</v>
      </c>
      <c r="AD19">
        <v>1440082</v>
      </c>
      <c r="AE19">
        <v>1339276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100806</v>
      </c>
      <c r="AN19">
        <v>0</v>
      </c>
      <c r="AO19">
        <v>0</v>
      </c>
      <c r="AP19">
        <v>100806</v>
      </c>
      <c r="AQ19">
        <v>0</v>
      </c>
      <c r="AR19">
        <v>100806</v>
      </c>
      <c r="AS19">
        <v>18894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119700</v>
      </c>
      <c r="BL19">
        <v>1570382</v>
      </c>
      <c r="BM19">
        <v>0</v>
      </c>
      <c r="BN19">
        <v>0</v>
      </c>
      <c r="BO19">
        <v>50115</v>
      </c>
      <c r="BP19">
        <v>0</v>
      </c>
      <c r="BQ19">
        <f>LIBRO[[#This Row],[MUTUAL]]+LIBRO[[#This Row],[SIS]]+LIBRO[[#This Row],[AFC Empresa]]+LIBRO[[#This Row],[Total Haberes]]</f>
        <v>1740197</v>
      </c>
    </row>
    <row r="20" spans="1:69" x14ac:dyDescent="0.25">
      <c r="A20" t="s">
        <v>169</v>
      </c>
      <c r="B20" t="s">
        <v>180</v>
      </c>
      <c r="F20">
        <f>SUBTOTAL(109,LIBRO[Cargo])</f>
        <v>0</v>
      </c>
      <c r="G20">
        <f>SUBTOTAL(109,LIBRO[Dias Trabajados])</f>
        <v>463</v>
      </c>
      <c r="H20">
        <f>SUBTOTAL(109,LIBRO[Horas Trabajadas])</f>
        <v>0</v>
      </c>
      <c r="I20">
        <f>SUBTOTAL(109,LIBRO[Dias Licencia])</f>
        <v>0</v>
      </c>
      <c r="J20">
        <f>SUBTOTAL(109,LIBRO[Dias Ausencia])</f>
        <v>1</v>
      </c>
      <c r="K20">
        <f>SUBTOTAL(109,LIBRO[Dias Vacaciones])</f>
        <v>0</v>
      </c>
      <c r="L20">
        <f>SUBTOTAL(109,LIBRO[Dias de Suspension])</f>
        <v>0</v>
      </c>
      <c r="M20">
        <f>SUBTOTAL(109,LIBRO[Sueldo de Suspension])</f>
        <v>0</v>
      </c>
      <c r="N20">
        <f>SUBTOTAL(109,LIBRO[Sueldo AFC de Suspension])</f>
        <v>0</v>
      </c>
      <c r="O20">
        <f>SUBTOTAL(109,LIBRO[Sueldo Base Proporcional])</f>
        <v>10293017</v>
      </c>
      <c r="P20">
        <f>SUBTOTAL(109,LIBRO[Cant Hrs Atraso])</f>
        <v>0</v>
      </c>
      <c r="Q20">
        <f>SUBTOTAL(109,LIBRO[Monto Por Atraso])</f>
        <v>0</v>
      </c>
      <c r="R20">
        <f>SUBTOTAL(109,LIBRO[Gratificacion])</f>
        <v>2197697</v>
      </c>
      <c r="S20">
        <f>SUBTOTAL(109,LIBRO[Hora Extra])</f>
        <v>0</v>
      </c>
      <c r="T20">
        <f>SUBTOTAL(109,LIBRO[Bonos Imponibles])</f>
        <v>3629800</v>
      </c>
      <c r="U20">
        <f>SUBTOTAL(109,LIBRO[Total Comisiones])</f>
        <v>0</v>
      </c>
      <c r="V20">
        <f>SUBTOTAL(109,LIBRO[Semana Corrida])</f>
        <v>0</v>
      </c>
      <c r="W20">
        <f>SUBTOTAL(109,LIBRO[Total Haberes Imponibles])</f>
        <v>16120514</v>
      </c>
      <c r="X20">
        <f>SUBTOTAL(109,LIBRO[Movilizacion])</f>
        <v>1785000</v>
      </c>
      <c r="Y20">
        <f>SUBTOTAL(109,LIBRO[Colacion])</f>
        <v>1885000</v>
      </c>
      <c r="Z20">
        <f>SUBTOTAL(109,LIBRO[Cargas Familiares])</f>
        <v>0</v>
      </c>
      <c r="AA20">
        <f>SUBTOTAL(109,LIBRO[Bonos No Imponibles])</f>
        <v>100000</v>
      </c>
      <c r="AB20">
        <f>SUBTOTAL(109,LIBRO[Total Haberes No Imponibles])</f>
        <v>3770000</v>
      </c>
      <c r="AC20">
        <f>SUBTOTAL(109,LIBRO[Total Haberes])</f>
        <v>19890514</v>
      </c>
      <c r="AD20">
        <f>SUBTOTAL(109,LIBRO[Base Imponible])</f>
        <v>16120514</v>
      </c>
      <c r="AE20">
        <f>SUBTOTAL(109,LIBRO[Base Tributable])</f>
        <v>13317313</v>
      </c>
      <c r="AF20">
        <f>SUBTOTAL(109,LIBRO[Total AFP])</f>
        <v>1562493</v>
      </c>
      <c r="AG20">
        <f>SUBTOTAL(109,LIBRO[Tasa AFP])</f>
        <v>156.15</v>
      </c>
      <c r="AH20">
        <f>SUBTOTAL(109,LIBRO[Solo AFP])</f>
        <v>1562493</v>
      </c>
      <c r="AI20">
        <f>SUBTOTAL(109,LIBRO[Adicional AFP])</f>
        <v>0</v>
      </c>
      <c r="AJ20">
        <f>SUBTOTAL(109,LIBRO[Tasa Adicional AFP])</f>
        <v>0</v>
      </c>
      <c r="AK20">
        <f>SUBTOTAL(109,LIBRO[INP])</f>
        <v>0</v>
      </c>
      <c r="AL20">
        <f>SUBTOTAL(109,LIBRO[Trabajo Pesado Empleado])</f>
        <v>0</v>
      </c>
      <c r="AM20">
        <f>SUBTOTAL(109,LIBRO[FONASA])</f>
        <v>892828</v>
      </c>
      <c r="AN20">
        <f>SUBTOTAL(109,LIBRO[ISAPRE])</f>
        <v>235606</v>
      </c>
      <c r="AO20">
        <f>SUBTOTAL(109,LIBRO[Adicional Salud])</f>
        <v>164294</v>
      </c>
      <c r="AP20">
        <f>SUBTOTAL(109,LIBRO[Total Salud])</f>
        <v>1292728</v>
      </c>
      <c r="AQ20">
        <f>SUBTOTAL(109,LIBRO[AFC Empleado])</f>
        <v>0</v>
      </c>
      <c r="AR20">
        <f>SUBTOTAL(109,LIBRO[Leyes Sociales])</f>
        <v>2855221</v>
      </c>
      <c r="AS20">
        <f>SUBTOTAL(109,LIBRO[Impuesto Unico])</f>
        <v>82362</v>
      </c>
      <c r="AT20">
        <f>SUBTOTAL(109,LIBRO[Rebaja Zona Extrema])</f>
        <v>0</v>
      </c>
      <c r="AU20">
        <f>SUBTOTAL(109,LIBRO[Cta Ahorro AFP])</f>
        <v>0</v>
      </c>
      <c r="AV20">
        <f>SUBTOTAL(109,LIBRO[APV A])</f>
        <v>0</v>
      </c>
      <c r="AW20">
        <f>SUBTOTAL(109,LIBRO[APV B])</f>
        <v>0</v>
      </c>
      <c r="AX20">
        <f>SUBTOTAL(109,LIBRO[APV C])</f>
        <v>0</v>
      </c>
      <c r="AY20">
        <f>SUBTOTAL(109,LIBRO[TOTAL APV])</f>
        <v>0</v>
      </c>
      <c r="AZ20">
        <f>SUBTOTAL(109,LIBRO[Anticipos])</f>
        <v>1550000</v>
      </c>
      <c r="BA20">
        <f>SUBTOTAL(109,LIBRO[Otros Descuentos])</f>
        <v>0</v>
      </c>
      <c r="BB20">
        <f>SUBTOTAL(109,LIBRO[Prestamos Caja])</f>
        <v>0</v>
      </c>
      <c r="BC20">
        <f>SUBTOTAL(109,LIBRO[Prestamo Social])</f>
        <v>0</v>
      </c>
      <c r="BD20">
        <f>SUBTOTAL(109,LIBRO[Prestamos Empresa])</f>
        <v>0</v>
      </c>
      <c r="BE20">
        <f>SUBTOTAL(109,LIBRO[Total Prestamos])</f>
        <v>0</v>
      </c>
      <c r="BF20">
        <f>SUBTOTAL(109,LIBRO[Seguros Dentales])</f>
        <v>0</v>
      </c>
      <c r="BG20">
        <f>SUBTOTAL(109,LIBRO[Ahorro Caja])</f>
        <v>0</v>
      </c>
      <c r="BH20">
        <f>SUBTOTAL(109,LIBRO[Seguros de Vida])</f>
        <v>0</v>
      </c>
      <c r="BI20">
        <f>SUBTOTAL(109,LIBRO[Cobertura de Suspension Total])</f>
        <v>0</v>
      </c>
      <c r="BJ20">
        <f>SUBTOTAL(109,LIBRO[Cobertura de Suspension])</f>
        <v>0</v>
      </c>
      <c r="BK20">
        <f>SUBTOTAL(109,LIBRO[Total Descuentos])</f>
        <v>4487583</v>
      </c>
      <c r="BL20">
        <f>SUBTOTAL(109,LIBRO[Sueldo Liquido])</f>
        <v>15402931</v>
      </c>
      <c r="BM20">
        <f>SUBTOTAL(109,LIBRO[AFC Empresa])</f>
        <v>418262</v>
      </c>
      <c r="BN20">
        <f>SUBTOTAL(109,LIBRO[SIS])</f>
        <v>204947</v>
      </c>
      <c r="BO20">
        <f>SUBTOTAL(109,LIBRO[MUTUAL])</f>
        <v>560993</v>
      </c>
      <c r="BP20">
        <f>SUBTOTAL(109,LIBRO[Caja Compensacion])</f>
        <v>0</v>
      </c>
      <c r="BQ20">
        <f>SUBTOTAL(109,LIBRO[COSTO EMPRESA])</f>
        <v>21074716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170</v>
      </c>
      <c r="G3" t="s">
        <v>171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7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7" x14ac:dyDescent="0.25">
      <c r="A6" t="s">
        <v>79</v>
      </c>
      <c r="B6" t="s">
        <v>80</v>
      </c>
      <c r="C6" t="s">
        <v>77</v>
      </c>
      <c r="D6" t="s">
        <v>81</v>
      </c>
      <c r="E6" t="s">
        <v>82</v>
      </c>
      <c r="F6">
        <v>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82</v>
      </c>
      <c r="F7">
        <v>0</v>
      </c>
    </row>
    <row r="8" spans="1:7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168000</v>
      </c>
      <c r="G8">
        <v>168000</v>
      </c>
    </row>
    <row r="9" spans="1:7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230000</v>
      </c>
      <c r="G9">
        <v>230000</v>
      </c>
    </row>
    <row r="10" spans="1:7" x14ac:dyDescent="0.25">
      <c r="A10" t="s">
        <v>96</v>
      </c>
      <c r="B10" t="s">
        <v>97</v>
      </c>
      <c r="C10" t="s">
        <v>98</v>
      </c>
      <c r="D10" t="s">
        <v>99</v>
      </c>
      <c r="E10" t="s">
        <v>72</v>
      </c>
      <c r="F10">
        <v>310000</v>
      </c>
      <c r="G10">
        <v>310000</v>
      </c>
    </row>
    <row r="11" spans="1:7" x14ac:dyDescent="0.25">
      <c r="A11" t="s">
        <v>101</v>
      </c>
      <c r="B11" t="s">
        <v>102</v>
      </c>
      <c r="C11" t="s">
        <v>103</v>
      </c>
      <c r="D11" t="s">
        <v>104</v>
      </c>
      <c r="E11" t="s">
        <v>72</v>
      </c>
      <c r="F11">
        <v>312000</v>
      </c>
      <c r="G11">
        <v>312000</v>
      </c>
    </row>
    <row r="12" spans="1:7" x14ac:dyDescent="0.25">
      <c r="A12" t="s">
        <v>106</v>
      </c>
      <c r="B12" t="s">
        <v>107</v>
      </c>
      <c r="C12" t="s">
        <v>108</v>
      </c>
      <c r="D12" t="s">
        <v>109</v>
      </c>
      <c r="E12" t="s">
        <v>110</v>
      </c>
      <c r="F12">
        <v>379000</v>
      </c>
      <c r="G12">
        <v>379000</v>
      </c>
    </row>
    <row r="13" spans="1:7" x14ac:dyDescent="0.25">
      <c r="A13" t="s">
        <v>111</v>
      </c>
      <c r="B13" t="s">
        <v>112</v>
      </c>
      <c r="C13" t="s">
        <v>113</v>
      </c>
      <c r="D13" t="s">
        <v>114</v>
      </c>
      <c r="E13" t="s">
        <v>72</v>
      </c>
      <c r="F13">
        <v>110000</v>
      </c>
      <c r="G13">
        <v>110000</v>
      </c>
    </row>
    <row r="14" spans="1:7" x14ac:dyDescent="0.25">
      <c r="A14" t="s">
        <v>116</v>
      </c>
      <c r="B14" t="s">
        <v>117</v>
      </c>
      <c r="C14" t="s">
        <v>118</v>
      </c>
      <c r="D14" t="s">
        <v>119</v>
      </c>
      <c r="E14" t="s">
        <v>72</v>
      </c>
      <c r="F14">
        <v>147000</v>
      </c>
      <c r="G14">
        <v>147000</v>
      </c>
    </row>
    <row r="15" spans="1:7" x14ac:dyDescent="0.25">
      <c r="A15" t="s">
        <v>121</v>
      </c>
      <c r="B15" t="s">
        <v>122</v>
      </c>
      <c r="C15" t="s">
        <v>123</v>
      </c>
      <c r="D15" t="s">
        <v>124</v>
      </c>
      <c r="E15" t="s">
        <v>72</v>
      </c>
      <c r="F15">
        <v>225000</v>
      </c>
      <c r="G15">
        <v>225000</v>
      </c>
    </row>
    <row r="16" spans="1:7" x14ac:dyDescent="0.25">
      <c r="A16" t="s">
        <v>125</v>
      </c>
      <c r="B16" t="s">
        <v>126</v>
      </c>
      <c r="C16" t="s">
        <v>127</v>
      </c>
      <c r="D16" t="s">
        <v>99</v>
      </c>
      <c r="E16" t="s">
        <v>72</v>
      </c>
      <c r="F16">
        <v>212000</v>
      </c>
      <c r="G16">
        <v>212000</v>
      </c>
    </row>
    <row r="17" spans="1:7" x14ac:dyDescent="0.25">
      <c r="A17" t="s">
        <v>128</v>
      </c>
      <c r="B17" t="s">
        <v>129</v>
      </c>
      <c r="C17" t="s">
        <v>130</v>
      </c>
      <c r="D17" t="s">
        <v>131</v>
      </c>
      <c r="E17" t="s">
        <v>82</v>
      </c>
      <c r="F17">
        <v>0</v>
      </c>
    </row>
    <row r="18" spans="1:7" x14ac:dyDescent="0.25">
      <c r="A18" t="s">
        <v>132</v>
      </c>
      <c r="B18" t="s">
        <v>133</v>
      </c>
      <c r="C18" t="s">
        <v>134</v>
      </c>
      <c r="D18" t="s">
        <v>135</v>
      </c>
      <c r="E18" t="s">
        <v>72</v>
      </c>
      <c r="F18">
        <v>287000</v>
      </c>
      <c r="G18">
        <v>287000</v>
      </c>
    </row>
    <row r="19" spans="1:7" x14ac:dyDescent="0.25">
      <c r="A19" t="s">
        <v>136</v>
      </c>
      <c r="B19" t="s">
        <v>137</v>
      </c>
      <c r="C19" t="s">
        <v>138</v>
      </c>
      <c r="D19" t="s">
        <v>139</v>
      </c>
      <c r="E19" t="s">
        <v>72</v>
      </c>
      <c r="F19">
        <v>692800</v>
      </c>
      <c r="G19">
        <v>692800</v>
      </c>
    </row>
    <row r="20" spans="1:7" x14ac:dyDescent="0.25">
      <c r="A20" t="s">
        <v>140</v>
      </c>
      <c r="B20" t="s">
        <v>141</v>
      </c>
      <c r="C20" t="s">
        <v>142</v>
      </c>
      <c r="D20" t="s">
        <v>143</v>
      </c>
      <c r="E20" t="s">
        <v>72</v>
      </c>
      <c r="F20">
        <v>147000</v>
      </c>
      <c r="G20">
        <v>147000</v>
      </c>
    </row>
    <row r="21" spans="1:7" x14ac:dyDescent="0.25">
      <c r="A21" t="s">
        <v>144</v>
      </c>
      <c r="B21" t="s">
        <v>145</v>
      </c>
      <c r="C21" t="s">
        <v>146</v>
      </c>
      <c r="D21" t="s">
        <v>147</v>
      </c>
      <c r="E21" t="s">
        <v>72</v>
      </c>
      <c r="F21">
        <v>0</v>
      </c>
    </row>
    <row r="22" spans="1:7" x14ac:dyDescent="0.25">
      <c r="A22" t="s">
        <v>148</v>
      </c>
      <c r="B22" t="s">
        <v>149</v>
      </c>
      <c r="C22" t="s">
        <v>86</v>
      </c>
      <c r="D22" t="s">
        <v>150</v>
      </c>
      <c r="E22" t="s">
        <v>82</v>
      </c>
      <c r="F22">
        <v>0</v>
      </c>
    </row>
    <row r="23" spans="1:7" x14ac:dyDescent="0.25">
      <c r="A23" t="s">
        <v>151</v>
      </c>
      <c r="B23" t="s">
        <v>152</v>
      </c>
      <c r="C23" t="s">
        <v>146</v>
      </c>
      <c r="D23" t="s">
        <v>153</v>
      </c>
      <c r="E23" t="s">
        <v>72</v>
      </c>
      <c r="F23">
        <v>308000</v>
      </c>
      <c r="G23">
        <v>308000</v>
      </c>
    </row>
    <row r="24" spans="1:7" x14ac:dyDescent="0.25">
      <c r="A24" t="s">
        <v>154</v>
      </c>
      <c r="B24" t="s">
        <v>155</v>
      </c>
      <c r="C24" t="s">
        <v>118</v>
      </c>
      <c r="D24" t="s">
        <v>156</v>
      </c>
      <c r="E24" t="s">
        <v>72</v>
      </c>
      <c r="F24">
        <v>208000</v>
      </c>
      <c r="G24">
        <v>208000</v>
      </c>
    </row>
    <row r="25" spans="1:7" x14ac:dyDescent="0.25">
      <c r="A25" t="s">
        <v>158</v>
      </c>
      <c r="B25" t="s">
        <v>159</v>
      </c>
      <c r="C25" t="s">
        <v>160</v>
      </c>
      <c r="D25" t="s">
        <v>103</v>
      </c>
      <c r="E25" t="s">
        <v>78</v>
      </c>
      <c r="F25">
        <v>0</v>
      </c>
    </row>
    <row r="26" spans="1:7" x14ac:dyDescent="0.25">
      <c r="A26" t="s">
        <v>161</v>
      </c>
      <c r="B26" t="s">
        <v>162</v>
      </c>
      <c r="C26" t="s">
        <v>163</v>
      </c>
      <c r="D26" t="s">
        <v>164</v>
      </c>
      <c r="E26" t="s">
        <v>72</v>
      </c>
      <c r="F26">
        <v>273000</v>
      </c>
      <c r="G26">
        <v>273000</v>
      </c>
    </row>
    <row r="27" spans="1:7" x14ac:dyDescent="0.25">
      <c r="A27" t="s">
        <v>165</v>
      </c>
      <c r="B27" t="s">
        <v>166</v>
      </c>
      <c r="C27" t="s">
        <v>167</v>
      </c>
      <c r="D27" t="s">
        <v>168</v>
      </c>
      <c r="E27" t="s">
        <v>110</v>
      </c>
      <c r="F27">
        <v>79000</v>
      </c>
      <c r="G27">
        <v>79000</v>
      </c>
    </row>
    <row r="28" spans="1:7" x14ac:dyDescent="0.25">
      <c r="A28" t="s">
        <v>169</v>
      </c>
      <c r="F28">
        <f>SUBTOTAL(109,BONOS[Total Bonos])</f>
        <v>4087800</v>
      </c>
      <c r="G28">
        <f>SUBTOTAL(109,BONOS[BONO PRODUCCION])</f>
        <v>4087800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172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77</v>
      </c>
      <c r="D6" t="s">
        <v>81</v>
      </c>
      <c r="E6" t="s">
        <v>82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82</v>
      </c>
      <c r="F7">
        <v>0</v>
      </c>
    </row>
    <row r="8" spans="1:6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0</v>
      </c>
    </row>
    <row r="10" spans="1:6" x14ac:dyDescent="0.25">
      <c r="A10" t="s">
        <v>96</v>
      </c>
      <c r="B10" t="s">
        <v>97</v>
      </c>
      <c r="C10" t="s">
        <v>98</v>
      </c>
      <c r="D10" t="s">
        <v>99</v>
      </c>
      <c r="E10" t="s">
        <v>72</v>
      </c>
      <c r="F10">
        <v>0</v>
      </c>
    </row>
    <row r="11" spans="1:6" x14ac:dyDescent="0.25">
      <c r="A11" t="s">
        <v>101</v>
      </c>
      <c r="B11" t="s">
        <v>102</v>
      </c>
      <c r="C11" t="s">
        <v>103</v>
      </c>
      <c r="D11" t="s">
        <v>104</v>
      </c>
      <c r="E11" t="s">
        <v>72</v>
      </c>
      <c r="F11">
        <v>0</v>
      </c>
    </row>
    <row r="12" spans="1:6" x14ac:dyDescent="0.25">
      <c r="A12" t="s">
        <v>106</v>
      </c>
      <c r="B12" t="s">
        <v>107</v>
      </c>
      <c r="C12" t="s">
        <v>108</v>
      </c>
      <c r="D12" t="s">
        <v>109</v>
      </c>
      <c r="E12" t="s">
        <v>110</v>
      </c>
      <c r="F12">
        <v>0</v>
      </c>
    </row>
    <row r="13" spans="1:6" x14ac:dyDescent="0.25">
      <c r="A13" t="s">
        <v>111</v>
      </c>
      <c r="B13" t="s">
        <v>112</v>
      </c>
      <c r="C13" t="s">
        <v>113</v>
      </c>
      <c r="D13" t="s">
        <v>114</v>
      </c>
      <c r="E13" t="s">
        <v>72</v>
      </c>
      <c r="F13">
        <v>0</v>
      </c>
    </row>
    <row r="14" spans="1:6" x14ac:dyDescent="0.25">
      <c r="A14" t="s">
        <v>116</v>
      </c>
      <c r="B14" t="s">
        <v>117</v>
      </c>
      <c r="C14" t="s">
        <v>118</v>
      </c>
      <c r="D14" t="s">
        <v>119</v>
      </c>
      <c r="E14" t="s">
        <v>72</v>
      </c>
      <c r="F14">
        <v>0</v>
      </c>
    </row>
    <row r="15" spans="1:6" x14ac:dyDescent="0.25">
      <c r="A15" t="s">
        <v>121</v>
      </c>
      <c r="B15" t="s">
        <v>122</v>
      </c>
      <c r="C15" t="s">
        <v>123</v>
      </c>
      <c r="D15" t="s">
        <v>124</v>
      </c>
      <c r="E15" t="s">
        <v>72</v>
      </c>
      <c r="F15">
        <v>0</v>
      </c>
    </row>
    <row r="16" spans="1:6" x14ac:dyDescent="0.25">
      <c r="A16" t="s">
        <v>125</v>
      </c>
      <c r="B16" t="s">
        <v>126</v>
      </c>
      <c r="C16" t="s">
        <v>127</v>
      </c>
      <c r="D16" t="s">
        <v>99</v>
      </c>
      <c r="E16" t="s">
        <v>72</v>
      </c>
      <c r="F16">
        <v>0</v>
      </c>
    </row>
    <row r="17" spans="1:6" x14ac:dyDescent="0.25">
      <c r="A17" t="s">
        <v>128</v>
      </c>
      <c r="B17" t="s">
        <v>129</v>
      </c>
      <c r="C17" t="s">
        <v>130</v>
      </c>
      <c r="D17" t="s">
        <v>131</v>
      </c>
      <c r="E17" t="s">
        <v>82</v>
      </c>
      <c r="F17">
        <v>0</v>
      </c>
    </row>
    <row r="18" spans="1:6" x14ac:dyDescent="0.25">
      <c r="A18" t="s">
        <v>132</v>
      </c>
      <c r="B18" t="s">
        <v>133</v>
      </c>
      <c r="C18" t="s">
        <v>134</v>
      </c>
      <c r="D18" t="s">
        <v>135</v>
      </c>
      <c r="E18" t="s">
        <v>72</v>
      </c>
      <c r="F18">
        <v>0</v>
      </c>
    </row>
    <row r="19" spans="1:6" x14ac:dyDescent="0.25">
      <c r="A19" t="s">
        <v>136</v>
      </c>
      <c r="B19" t="s">
        <v>137</v>
      </c>
      <c r="C19" t="s">
        <v>138</v>
      </c>
      <c r="D19" t="s">
        <v>139</v>
      </c>
      <c r="E19" t="s">
        <v>72</v>
      </c>
      <c r="F19">
        <v>0</v>
      </c>
    </row>
    <row r="20" spans="1:6" x14ac:dyDescent="0.25">
      <c r="A20" t="s">
        <v>140</v>
      </c>
      <c r="B20" t="s">
        <v>141</v>
      </c>
      <c r="C20" t="s">
        <v>142</v>
      </c>
      <c r="D20" t="s">
        <v>143</v>
      </c>
      <c r="E20" t="s">
        <v>72</v>
      </c>
      <c r="F20">
        <v>0</v>
      </c>
    </row>
    <row r="21" spans="1:6" x14ac:dyDescent="0.25">
      <c r="A21" t="s">
        <v>144</v>
      </c>
      <c r="B21" t="s">
        <v>145</v>
      </c>
      <c r="C21" t="s">
        <v>146</v>
      </c>
      <c r="D21" t="s">
        <v>147</v>
      </c>
      <c r="E21" t="s">
        <v>72</v>
      </c>
      <c r="F21">
        <v>0</v>
      </c>
    </row>
    <row r="22" spans="1:6" x14ac:dyDescent="0.25">
      <c r="A22" t="s">
        <v>148</v>
      </c>
      <c r="B22" t="s">
        <v>149</v>
      </c>
      <c r="C22" t="s">
        <v>86</v>
      </c>
      <c r="D22" t="s">
        <v>150</v>
      </c>
      <c r="E22" t="s">
        <v>82</v>
      </c>
      <c r="F22">
        <v>0</v>
      </c>
    </row>
    <row r="23" spans="1:6" x14ac:dyDescent="0.25">
      <c r="A23" t="s">
        <v>151</v>
      </c>
      <c r="B23" t="s">
        <v>152</v>
      </c>
      <c r="C23" t="s">
        <v>146</v>
      </c>
      <c r="D23" t="s">
        <v>153</v>
      </c>
      <c r="E23" t="s">
        <v>72</v>
      </c>
      <c r="F23">
        <v>0</v>
      </c>
    </row>
    <row r="24" spans="1:6" x14ac:dyDescent="0.25">
      <c r="A24" t="s">
        <v>154</v>
      </c>
      <c r="B24" t="s">
        <v>155</v>
      </c>
      <c r="C24" t="s">
        <v>118</v>
      </c>
      <c r="D24" t="s">
        <v>156</v>
      </c>
      <c r="E24" t="s">
        <v>72</v>
      </c>
      <c r="F24">
        <v>0</v>
      </c>
    </row>
    <row r="25" spans="1:6" x14ac:dyDescent="0.25">
      <c r="A25" t="s">
        <v>158</v>
      </c>
      <c r="B25" t="s">
        <v>159</v>
      </c>
      <c r="C25" t="s">
        <v>160</v>
      </c>
      <c r="D25" t="s">
        <v>103</v>
      </c>
      <c r="E25" t="s">
        <v>78</v>
      </c>
      <c r="F25">
        <v>0</v>
      </c>
    </row>
    <row r="26" spans="1:6" x14ac:dyDescent="0.25">
      <c r="A26" t="s">
        <v>161</v>
      </c>
      <c r="B26" t="s">
        <v>162</v>
      </c>
      <c r="C26" t="s">
        <v>163</v>
      </c>
      <c r="D26" t="s">
        <v>164</v>
      </c>
      <c r="E26" t="s">
        <v>72</v>
      </c>
      <c r="F26">
        <v>0</v>
      </c>
    </row>
    <row r="27" spans="1:6" x14ac:dyDescent="0.25">
      <c r="A27" t="s">
        <v>165</v>
      </c>
      <c r="B27" t="s">
        <v>166</v>
      </c>
      <c r="C27" t="s">
        <v>167</v>
      </c>
      <c r="D27" t="s">
        <v>168</v>
      </c>
      <c r="E27" t="s">
        <v>110</v>
      </c>
      <c r="F27">
        <v>0</v>
      </c>
    </row>
    <row r="28" spans="1:6" x14ac:dyDescent="0.25">
      <c r="A28" t="s">
        <v>169</v>
      </c>
      <c r="F28">
        <f>SUBTOTAL(109,HORAEXTRA[Total Hora Extra])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20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77</v>
      </c>
      <c r="D6" t="s">
        <v>81</v>
      </c>
      <c r="E6" t="s">
        <v>82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82</v>
      </c>
      <c r="F7">
        <v>0</v>
      </c>
    </row>
    <row r="8" spans="1:6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0</v>
      </c>
    </row>
    <row r="10" spans="1:6" x14ac:dyDescent="0.25">
      <c r="A10" t="s">
        <v>96</v>
      </c>
      <c r="B10" t="s">
        <v>97</v>
      </c>
      <c r="C10" t="s">
        <v>98</v>
      </c>
      <c r="D10" t="s">
        <v>99</v>
      </c>
      <c r="E10" t="s">
        <v>72</v>
      </c>
      <c r="F10">
        <v>0</v>
      </c>
    </row>
    <row r="11" spans="1:6" x14ac:dyDescent="0.25">
      <c r="A11" t="s">
        <v>101</v>
      </c>
      <c r="B11" t="s">
        <v>102</v>
      </c>
      <c r="C11" t="s">
        <v>103</v>
      </c>
      <c r="D11" t="s">
        <v>104</v>
      </c>
      <c r="E11" t="s">
        <v>72</v>
      </c>
      <c r="F11">
        <v>0</v>
      </c>
    </row>
    <row r="12" spans="1:6" x14ac:dyDescent="0.25">
      <c r="A12" t="s">
        <v>106</v>
      </c>
      <c r="B12" t="s">
        <v>107</v>
      </c>
      <c r="C12" t="s">
        <v>108</v>
      </c>
      <c r="D12" t="s">
        <v>109</v>
      </c>
      <c r="E12" t="s">
        <v>110</v>
      </c>
      <c r="F12">
        <v>0</v>
      </c>
    </row>
    <row r="13" spans="1:6" x14ac:dyDescent="0.25">
      <c r="A13" t="s">
        <v>111</v>
      </c>
      <c r="B13" t="s">
        <v>112</v>
      </c>
      <c r="C13" t="s">
        <v>113</v>
      </c>
      <c r="D13" t="s">
        <v>114</v>
      </c>
      <c r="E13" t="s">
        <v>72</v>
      </c>
      <c r="F13">
        <v>0</v>
      </c>
    </row>
    <row r="14" spans="1:6" x14ac:dyDescent="0.25">
      <c r="A14" t="s">
        <v>116</v>
      </c>
      <c r="B14" t="s">
        <v>117</v>
      </c>
      <c r="C14" t="s">
        <v>118</v>
      </c>
      <c r="D14" t="s">
        <v>119</v>
      </c>
      <c r="E14" t="s">
        <v>72</v>
      </c>
      <c r="F14">
        <v>0</v>
      </c>
    </row>
    <row r="15" spans="1:6" x14ac:dyDescent="0.25">
      <c r="A15" t="s">
        <v>121</v>
      </c>
      <c r="B15" t="s">
        <v>122</v>
      </c>
      <c r="C15" t="s">
        <v>123</v>
      </c>
      <c r="D15" t="s">
        <v>124</v>
      </c>
      <c r="E15" t="s">
        <v>72</v>
      </c>
      <c r="F15">
        <v>0</v>
      </c>
    </row>
    <row r="16" spans="1:6" x14ac:dyDescent="0.25">
      <c r="A16" t="s">
        <v>125</v>
      </c>
      <c r="B16" t="s">
        <v>126</v>
      </c>
      <c r="C16" t="s">
        <v>127</v>
      </c>
      <c r="D16" t="s">
        <v>99</v>
      </c>
      <c r="E16" t="s">
        <v>72</v>
      </c>
      <c r="F16">
        <v>0</v>
      </c>
    </row>
    <row r="17" spans="1:6" x14ac:dyDescent="0.25">
      <c r="A17" t="s">
        <v>128</v>
      </c>
      <c r="B17" t="s">
        <v>129</v>
      </c>
      <c r="C17" t="s">
        <v>130</v>
      </c>
      <c r="D17" t="s">
        <v>131</v>
      </c>
      <c r="E17" t="s">
        <v>82</v>
      </c>
      <c r="F17">
        <v>0</v>
      </c>
    </row>
    <row r="18" spans="1:6" x14ac:dyDescent="0.25">
      <c r="A18" t="s">
        <v>132</v>
      </c>
      <c r="B18" t="s">
        <v>133</v>
      </c>
      <c r="C18" t="s">
        <v>134</v>
      </c>
      <c r="D18" t="s">
        <v>135</v>
      </c>
      <c r="E18" t="s">
        <v>72</v>
      </c>
      <c r="F18">
        <v>0</v>
      </c>
    </row>
    <row r="19" spans="1:6" x14ac:dyDescent="0.25">
      <c r="A19" t="s">
        <v>136</v>
      </c>
      <c r="B19" t="s">
        <v>137</v>
      </c>
      <c r="C19" t="s">
        <v>138</v>
      </c>
      <c r="D19" t="s">
        <v>139</v>
      </c>
      <c r="E19" t="s">
        <v>72</v>
      </c>
      <c r="F19">
        <v>0</v>
      </c>
    </row>
    <row r="20" spans="1:6" x14ac:dyDescent="0.25">
      <c r="A20" t="s">
        <v>140</v>
      </c>
      <c r="B20" t="s">
        <v>141</v>
      </c>
      <c r="C20" t="s">
        <v>142</v>
      </c>
      <c r="D20" t="s">
        <v>143</v>
      </c>
      <c r="E20" t="s">
        <v>72</v>
      </c>
      <c r="F20">
        <v>0</v>
      </c>
    </row>
    <row r="21" spans="1:6" x14ac:dyDescent="0.25">
      <c r="A21" t="s">
        <v>144</v>
      </c>
      <c r="B21" t="s">
        <v>145</v>
      </c>
      <c r="C21" t="s">
        <v>146</v>
      </c>
      <c r="D21" t="s">
        <v>147</v>
      </c>
      <c r="E21" t="s">
        <v>72</v>
      </c>
      <c r="F21">
        <v>0</v>
      </c>
    </row>
    <row r="22" spans="1:6" x14ac:dyDescent="0.25">
      <c r="A22" t="s">
        <v>148</v>
      </c>
      <c r="B22" t="s">
        <v>149</v>
      </c>
      <c r="C22" t="s">
        <v>86</v>
      </c>
      <c r="D22" t="s">
        <v>150</v>
      </c>
      <c r="E22" t="s">
        <v>82</v>
      </c>
      <c r="F22">
        <v>0</v>
      </c>
    </row>
    <row r="23" spans="1:6" x14ac:dyDescent="0.25">
      <c r="A23" t="s">
        <v>151</v>
      </c>
      <c r="B23" t="s">
        <v>152</v>
      </c>
      <c r="C23" t="s">
        <v>146</v>
      </c>
      <c r="D23" t="s">
        <v>153</v>
      </c>
      <c r="E23" t="s">
        <v>72</v>
      </c>
      <c r="F23">
        <v>0</v>
      </c>
    </row>
    <row r="24" spans="1:6" x14ac:dyDescent="0.25">
      <c r="A24" t="s">
        <v>154</v>
      </c>
      <c r="B24" t="s">
        <v>155</v>
      </c>
      <c r="C24" t="s">
        <v>118</v>
      </c>
      <c r="D24" t="s">
        <v>156</v>
      </c>
      <c r="E24" t="s">
        <v>72</v>
      </c>
      <c r="F24">
        <v>0</v>
      </c>
    </row>
    <row r="25" spans="1:6" x14ac:dyDescent="0.25">
      <c r="A25" t="s">
        <v>158</v>
      </c>
      <c r="B25" t="s">
        <v>159</v>
      </c>
      <c r="C25" t="s">
        <v>160</v>
      </c>
      <c r="D25" t="s">
        <v>103</v>
      </c>
      <c r="E25" t="s">
        <v>78</v>
      </c>
      <c r="F25">
        <v>0</v>
      </c>
    </row>
    <row r="26" spans="1:6" x14ac:dyDescent="0.25">
      <c r="A26" t="s">
        <v>161</v>
      </c>
      <c r="B26" t="s">
        <v>162</v>
      </c>
      <c r="C26" t="s">
        <v>163</v>
      </c>
      <c r="D26" t="s">
        <v>164</v>
      </c>
      <c r="E26" t="s">
        <v>72</v>
      </c>
      <c r="F26">
        <v>0</v>
      </c>
    </row>
    <row r="27" spans="1:6" x14ac:dyDescent="0.25">
      <c r="A27" t="s">
        <v>165</v>
      </c>
      <c r="B27" t="s">
        <v>166</v>
      </c>
      <c r="C27" t="s">
        <v>167</v>
      </c>
      <c r="D27" t="s">
        <v>168</v>
      </c>
      <c r="E27" t="s">
        <v>110</v>
      </c>
      <c r="F27">
        <v>0</v>
      </c>
    </row>
    <row r="28" spans="1:6" x14ac:dyDescent="0.25">
      <c r="A28" t="s">
        <v>169</v>
      </c>
      <c r="F28">
        <f>SUBTOTAL(109,COMISIONES[Total Comisiones])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173</v>
      </c>
      <c r="G3" t="s">
        <v>174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7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7" x14ac:dyDescent="0.25">
      <c r="A6" t="s">
        <v>79</v>
      </c>
      <c r="B6" t="s">
        <v>80</v>
      </c>
      <c r="C6" t="s">
        <v>77</v>
      </c>
      <c r="D6" t="s">
        <v>81</v>
      </c>
      <c r="E6" t="s">
        <v>82</v>
      </c>
      <c r="F6">
        <v>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82</v>
      </c>
      <c r="F7">
        <v>0</v>
      </c>
    </row>
    <row r="8" spans="1:7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0</v>
      </c>
    </row>
    <row r="9" spans="1:7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100000</v>
      </c>
      <c r="G9">
        <v>100000</v>
      </c>
    </row>
    <row r="10" spans="1:7" x14ac:dyDescent="0.25">
      <c r="A10" t="s">
        <v>96</v>
      </c>
      <c r="B10" t="s">
        <v>97</v>
      </c>
      <c r="C10" t="s">
        <v>98</v>
      </c>
      <c r="D10" t="s">
        <v>99</v>
      </c>
      <c r="E10" t="s">
        <v>72</v>
      </c>
      <c r="F10">
        <v>0</v>
      </c>
    </row>
    <row r="11" spans="1:7" x14ac:dyDescent="0.25">
      <c r="A11" t="s">
        <v>101</v>
      </c>
      <c r="B11" t="s">
        <v>102</v>
      </c>
      <c r="C11" t="s">
        <v>103</v>
      </c>
      <c r="D11" t="s">
        <v>104</v>
      </c>
      <c r="E11" t="s">
        <v>72</v>
      </c>
      <c r="F11">
        <v>0</v>
      </c>
    </row>
    <row r="12" spans="1:7" x14ac:dyDescent="0.25">
      <c r="A12" t="s">
        <v>106</v>
      </c>
      <c r="B12" t="s">
        <v>107</v>
      </c>
      <c r="C12" t="s">
        <v>108</v>
      </c>
      <c r="D12" t="s">
        <v>109</v>
      </c>
      <c r="E12" t="s">
        <v>110</v>
      </c>
      <c r="F12">
        <v>0</v>
      </c>
    </row>
    <row r="13" spans="1:7" x14ac:dyDescent="0.25">
      <c r="A13" t="s">
        <v>111</v>
      </c>
      <c r="B13" t="s">
        <v>112</v>
      </c>
      <c r="C13" t="s">
        <v>113</v>
      </c>
      <c r="D13" t="s">
        <v>114</v>
      </c>
      <c r="E13" t="s">
        <v>72</v>
      </c>
      <c r="F13">
        <v>0</v>
      </c>
    </row>
    <row r="14" spans="1:7" x14ac:dyDescent="0.25">
      <c r="A14" t="s">
        <v>116</v>
      </c>
      <c r="B14" t="s">
        <v>117</v>
      </c>
      <c r="C14" t="s">
        <v>118</v>
      </c>
      <c r="D14" t="s">
        <v>119</v>
      </c>
      <c r="E14" t="s">
        <v>72</v>
      </c>
      <c r="F14">
        <v>0</v>
      </c>
    </row>
    <row r="15" spans="1:7" x14ac:dyDescent="0.25">
      <c r="A15" t="s">
        <v>121</v>
      </c>
      <c r="B15" t="s">
        <v>122</v>
      </c>
      <c r="C15" t="s">
        <v>123</v>
      </c>
      <c r="D15" t="s">
        <v>124</v>
      </c>
      <c r="E15" t="s">
        <v>72</v>
      </c>
      <c r="F15">
        <v>0</v>
      </c>
    </row>
    <row r="16" spans="1:7" x14ac:dyDescent="0.25">
      <c r="A16" t="s">
        <v>125</v>
      </c>
      <c r="B16" t="s">
        <v>126</v>
      </c>
      <c r="C16" t="s">
        <v>127</v>
      </c>
      <c r="D16" t="s">
        <v>99</v>
      </c>
      <c r="E16" t="s">
        <v>72</v>
      </c>
      <c r="F16">
        <v>0</v>
      </c>
    </row>
    <row r="17" spans="1:7" x14ac:dyDescent="0.25">
      <c r="A17" t="s">
        <v>128</v>
      </c>
      <c r="B17" t="s">
        <v>129</v>
      </c>
      <c r="C17" t="s">
        <v>130</v>
      </c>
      <c r="D17" t="s">
        <v>131</v>
      </c>
      <c r="E17" t="s">
        <v>82</v>
      </c>
      <c r="F17">
        <v>0</v>
      </c>
    </row>
    <row r="18" spans="1:7" x14ac:dyDescent="0.25">
      <c r="A18" t="s">
        <v>132</v>
      </c>
      <c r="B18" t="s">
        <v>133</v>
      </c>
      <c r="C18" t="s">
        <v>134</v>
      </c>
      <c r="D18" t="s">
        <v>135</v>
      </c>
      <c r="E18" t="s">
        <v>72</v>
      </c>
      <c r="F18">
        <v>0</v>
      </c>
    </row>
    <row r="19" spans="1:7" x14ac:dyDescent="0.25">
      <c r="A19" t="s">
        <v>136</v>
      </c>
      <c r="B19" t="s">
        <v>137</v>
      </c>
      <c r="C19" t="s">
        <v>138</v>
      </c>
      <c r="D19" t="s">
        <v>139</v>
      </c>
      <c r="E19" t="s">
        <v>72</v>
      </c>
      <c r="F19">
        <v>0</v>
      </c>
    </row>
    <row r="20" spans="1:7" x14ac:dyDescent="0.25">
      <c r="A20" t="s">
        <v>140</v>
      </c>
      <c r="B20" t="s">
        <v>141</v>
      </c>
      <c r="C20" t="s">
        <v>142</v>
      </c>
      <c r="D20" t="s">
        <v>143</v>
      </c>
      <c r="E20" t="s">
        <v>72</v>
      </c>
      <c r="F20">
        <v>0</v>
      </c>
    </row>
    <row r="21" spans="1:7" x14ac:dyDescent="0.25">
      <c r="A21" t="s">
        <v>144</v>
      </c>
      <c r="B21" t="s">
        <v>145</v>
      </c>
      <c r="C21" t="s">
        <v>146</v>
      </c>
      <c r="D21" t="s">
        <v>147</v>
      </c>
      <c r="E21" t="s">
        <v>72</v>
      </c>
      <c r="F21">
        <v>0</v>
      </c>
    </row>
    <row r="22" spans="1:7" x14ac:dyDescent="0.25">
      <c r="A22" t="s">
        <v>148</v>
      </c>
      <c r="B22" t="s">
        <v>149</v>
      </c>
      <c r="C22" t="s">
        <v>86</v>
      </c>
      <c r="D22" t="s">
        <v>150</v>
      </c>
      <c r="E22" t="s">
        <v>82</v>
      </c>
      <c r="F22">
        <v>0</v>
      </c>
    </row>
    <row r="23" spans="1:7" x14ac:dyDescent="0.25">
      <c r="A23" t="s">
        <v>151</v>
      </c>
      <c r="B23" t="s">
        <v>152</v>
      </c>
      <c r="C23" t="s">
        <v>146</v>
      </c>
      <c r="D23" t="s">
        <v>153</v>
      </c>
      <c r="E23" t="s">
        <v>72</v>
      </c>
      <c r="F23">
        <v>0</v>
      </c>
    </row>
    <row r="24" spans="1:7" x14ac:dyDescent="0.25">
      <c r="A24" t="s">
        <v>154</v>
      </c>
      <c r="B24" t="s">
        <v>155</v>
      </c>
      <c r="C24" t="s">
        <v>118</v>
      </c>
      <c r="D24" t="s">
        <v>156</v>
      </c>
      <c r="E24" t="s">
        <v>72</v>
      </c>
      <c r="F24">
        <v>0</v>
      </c>
    </row>
    <row r="25" spans="1:7" x14ac:dyDescent="0.25">
      <c r="A25" t="s">
        <v>158</v>
      </c>
      <c r="B25" t="s">
        <v>159</v>
      </c>
      <c r="C25" t="s">
        <v>160</v>
      </c>
      <c r="D25" t="s">
        <v>103</v>
      </c>
      <c r="E25" t="s">
        <v>78</v>
      </c>
      <c r="F25">
        <v>0</v>
      </c>
    </row>
    <row r="26" spans="1:7" x14ac:dyDescent="0.25">
      <c r="A26" t="s">
        <v>161</v>
      </c>
      <c r="B26" t="s">
        <v>162</v>
      </c>
      <c r="C26" t="s">
        <v>163</v>
      </c>
      <c r="D26" t="s">
        <v>164</v>
      </c>
      <c r="E26" t="s">
        <v>72</v>
      </c>
      <c r="F26">
        <v>0</v>
      </c>
    </row>
    <row r="27" spans="1:7" x14ac:dyDescent="0.25">
      <c r="A27" t="s">
        <v>165</v>
      </c>
      <c r="B27" t="s">
        <v>166</v>
      </c>
      <c r="C27" t="s">
        <v>167</v>
      </c>
      <c r="D27" t="s">
        <v>168</v>
      </c>
      <c r="E27" t="s">
        <v>110</v>
      </c>
      <c r="F27">
        <v>0</v>
      </c>
    </row>
    <row r="28" spans="1:7" x14ac:dyDescent="0.25">
      <c r="A28" t="s">
        <v>169</v>
      </c>
      <c r="F28">
        <f>SUBTOTAL(109,NOIMPONIBLE[Total Bonos No Imponibles])</f>
        <v>100000</v>
      </c>
      <c r="G28">
        <f>SUBTOTAL(109,NOIMPONIBLE[DESGASTE DE HERRAMIENTAS])</f>
        <v>100000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56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77</v>
      </c>
      <c r="D6" t="s">
        <v>81</v>
      </c>
      <c r="E6" t="s">
        <v>82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82</v>
      </c>
      <c r="F7">
        <v>0</v>
      </c>
    </row>
    <row r="8" spans="1:6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0</v>
      </c>
    </row>
    <row r="10" spans="1:6" x14ac:dyDescent="0.25">
      <c r="A10" t="s">
        <v>96</v>
      </c>
      <c r="B10" t="s">
        <v>97</v>
      </c>
      <c r="C10" t="s">
        <v>98</v>
      </c>
      <c r="D10" t="s">
        <v>99</v>
      </c>
      <c r="E10" t="s">
        <v>72</v>
      </c>
      <c r="F10">
        <v>0</v>
      </c>
    </row>
    <row r="11" spans="1:6" x14ac:dyDescent="0.25">
      <c r="A11" t="s">
        <v>101</v>
      </c>
      <c r="B11" t="s">
        <v>102</v>
      </c>
      <c r="C11" t="s">
        <v>103</v>
      </c>
      <c r="D11" t="s">
        <v>104</v>
      </c>
      <c r="E11" t="s">
        <v>72</v>
      </c>
      <c r="F11">
        <v>0</v>
      </c>
    </row>
    <row r="12" spans="1:6" x14ac:dyDescent="0.25">
      <c r="A12" t="s">
        <v>106</v>
      </c>
      <c r="B12" t="s">
        <v>107</v>
      </c>
      <c r="C12" t="s">
        <v>108</v>
      </c>
      <c r="D12" t="s">
        <v>109</v>
      </c>
      <c r="E12" t="s">
        <v>110</v>
      </c>
      <c r="F12">
        <v>0</v>
      </c>
    </row>
    <row r="13" spans="1:6" x14ac:dyDescent="0.25">
      <c r="A13" t="s">
        <v>111</v>
      </c>
      <c r="B13" t="s">
        <v>112</v>
      </c>
      <c r="C13" t="s">
        <v>113</v>
      </c>
      <c r="D13" t="s">
        <v>114</v>
      </c>
      <c r="E13" t="s">
        <v>72</v>
      </c>
      <c r="F13">
        <v>0</v>
      </c>
    </row>
    <row r="14" spans="1:6" x14ac:dyDescent="0.25">
      <c r="A14" t="s">
        <v>116</v>
      </c>
      <c r="B14" t="s">
        <v>117</v>
      </c>
      <c r="C14" t="s">
        <v>118</v>
      </c>
      <c r="D14" t="s">
        <v>119</v>
      </c>
      <c r="E14" t="s">
        <v>72</v>
      </c>
      <c r="F14">
        <v>0</v>
      </c>
    </row>
    <row r="15" spans="1:6" x14ac:dyDescent="0.25">
      <c r="A15" t="s">
        <v>121</v>
      </c>
      <c r="B15" t="s">
        <v>122</v>
      </c>
      <c r="C15" t="s">
        <v>123</v>
      </c>
      <c r="D15" t="s">
        <v>124</v>
      </c>
      <c r="E15" t="s">
        <v>72</v>
      </c>
      <c r="F15">
        <v>0</v>
      </c>
    </row>
    <row r="16" spans="1:6" x14ac:dyDescent="0.25">
      <c r="A16" t="s">
        <v>125</v>
      </c>
      <c r="B16" t="s">
        <v>126</v>
      </c>
      <c r="C16" t="s">
        <v>127</v>
      </c>
      <c r="D16" t="s">
        <v>99</v>
      </c>
      <c r="E16" t="s">
        <v>72</v>
      </c>
      <c r="F16">
        <v>0</v>
      </c>
    </row>
    <row r="17" spans="1:6" x14ac:dyDescent="0.25">
      <c r="A17" t="s">
        <v>128</v>
      </c>
      <c r="B17" t="s">
        <v>129</v>
      </c>
      <c r="C17" t="s">
        <v>130</v>
      </c>
      <c r="D17" t="s">
        <v>131</v>
      </c>
      <c r="E17" t="s">
        <v>82</v>
      </c>
      <c r="F17">
        <v>0</v>
      </c>
    </row>
    <row r="18" spans="1:6" x14ac:dyDescent="0.25">
      <c r="A18" t="s">
        <v>132</v>
      </c>
      <c r="B18" t="s">
        <v>133</v>
      </c>
      <c r="C18" t="s">
        <v>134</v>
      </c>
      <c r="D18" t="s">
        <v>135</v>
      </c>
      <c r="E18" t="s">
        <v>72</v>
      </c>
      <c r="F18">
        <v>0</v>
      </c>
    </row>
    <row r="19" spans="1:6" x14ac:dyDescent="0.25">
      <c r="A19" t="s">
        <v>136</v>
      </c>
      <c r="B19" t="s">
        <v>137</v>
      </c>
      <c r="C19" t="s">
        <v>138</v>
      </c>
      <c r="D19" t="s">
        <v>139</v>
      </c>
      <c r="E19" t="s">
        <v>72</v>
      </c>
      <c r="F19">
        <v>0</v>
      </c>
    </row>
    <row r="20" spans="1:6" x14ac:dyDescent="0.25">
      <c r="A20" t="s">
        <v>140</v>
      </c>
      <c r="B20" t="s">
        <v>141</v>
      </c>
      <c r="C20" t="s">
        <v>142</v>
      </c>
      <c r="D20" t="s">
        <v>143</v>
      </c>
      <c r="E20" t="s">
        <v>72</v>
      </c>
      <c r="F20">
        <v>0</v>
      </c>
    </row>
    <row r="21" spans="1:6" x14ac:dyDescent="0.25">
      <c r="A21" t="s">
        <v>144</v>
      </c>
      <c r="B21" t="s">
        <v>145</v>
      </c>
      <c r="C21" t="s">
        <v>146</v>
      </c>
      <c r="D21" t="s">
        <v>147</v>
      </c>
      <c r="E21" t="s">
        <v>72</v>
      </c>
      <c r="F21">
        <v>0</v>
      </c>
    </row>
    <row r="22" spans="1:6" x14ac:dyDescent="0.25">
      <c r="A22" t="s">
        <v>148</v>
      </c>
      <c r="B22" t="s">
        <v>149</v>
      </c>
      <c r="C22" t="s">
        <v>86</v>
      </c>
      <c r="D22" t="s">
        <v>150</v>
      </c>
      <c r="E22" t="s">
        <v>82</v>
      </c>
      <c r="F22">
        <v>0</v>
      </c>
    </row>
    <row r="23" spans="1:6" x14ac:dyDescent="0.25">
      <c r="A23" t="s">
        <v>151</v>
      </c>
      <c r="B23" t="s">
        <v>152</v>
      </c>
      <c r="C23" t="s">
        <v>146</v>
      </c>
      <c r="D23" t="s">
        <v>153</v>
      </c>
      <c r="E23" t="s">
        <v>72</v>
      </c>
      <c r="F23">
        <v>0</v>
      </c>
    </row>
    <row r="24" spans="1:6" x14ac:dyDescent="0.25">
      <c r="A24" t="s">
        <v>154</v>
      </c>
      <c r="B24" t="s">
        <v>155</v>
      </c>
      <c r="C24" t="s">
        <v>118</v>
      </c>
      <c r="D24" t="s">
        <v>156</v>
      </c>
      <c r="E24" t="s">
        <v>72</v>
      </c>
      <c r="F24">
        <v>0</v>
      </c>
    </row>
    <row r="25" spans="1:6" x14ac:dyDescent="0.25">
      <c r="A25" t="s">
        <v>158</v>
      </c>
      <c r="B25" t="s">
        <v>159</v>
      </c>
      <c r="C25" t="s">
        <v>160</v>
      </c>
      <c r="D25" t="s">
        <v>103</v>
      </c>
      <c r="E25" t="s">
        <v>78</v>
      </c>
      <c r="F25">
        <v>0</v>
      </c>
    </row>
    <row r="26" spans="1:6" x14ac:dyDescent="0.25">
      <c r="A26" t="s">
        <v>161</v>
      </c>
      <c r="B26" t="s">
        <v>162</v>
      </c>
      <c r="C26" t="s">
        <v>163</v>
      </c>
      <c r="D26" t="s">
        <v>164</v>
      </c>
      <c r="E26" t="s">
        <v>72</v>
      </c>
      <c r="F26">
        <v>0</v>
      </c>
    </row>
    <row r="27" spans="1:6" x14ac:dyDescent="0.25">
      <c r="A27" t="s">
        <v>165</v>
      </c>
      <c r="B27" t="s">
        <v>166</v>
      </c>
      <c r="C27" t="s">
        <v>167</v>
      </c>
      <c r="D27" t="s">
        <v>168</v>
      </c>
      <c r="E27" t="s">
        <v>110</v>
      </c>
      <c r="F27">
        <v>0</v>
      </c>
    </row>
    <row r="28" spans="1:6" x14ac:dyDescent="0.25">
      <c r="A28" t="s">
        <v>169</v>
      </c>
      <c r="F28">
        <f>SUBTOTAL(109,PRESTAMOS[Total Prestamos])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workbookViewId="0"/>
  </sheetViews>
  <sheetFormatPr baseColWidth="10" defaultColWidth="9.140625" defaultRowHeight="15" x14ac:dyDescent="0.25"/>
  <sheetData>
    <row r="3" spans="1:8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175</v>
      </c>
      <c r="G3" t="s">
        <v>176</v>
      </c>
      <c r="H3" t="s">
        <v>177</v>
      </c>
    </row>
    <row r="4" spans="1:8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100000</v>
      </c>
      <c r="G4">
        <v>100000</v>
      </c>
    </row>
    <row r="5" spans="1:8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60000</v>
      </c>
      <c r="H5">
        <v>60000</v>
      </c>
    </row>
    <row r="6" spans="1:8" x14ac:dyDescent="0.25">
      <c r="A6" t="s">
        <v>79</v>
      </c>
      <c r="B6" t="s">
        <v>80</v>
      </c>
      <c r="C6" t="s">
        <v>77</v>
      </c>
      <c r="D6" t="s">
        <v>81</v>
      </c>
      <c r="E6" t="s">
        <v>82</v>
      </c>
      <c r="F6">
        <v>0</v>
      </c>
    </row>
    <row r="7" spans="1:8" x14ac:dyDescent="0.25">
      <c r="A7" t="s">
        <v>83</v>
      </c>
      <c r="B7" t="s">
        <v>84</v>
      </c>
      <c r="C7" t="s">
        <v>85</v>
      </c>
      <c r="D7" t="s">
        <v>86</v>
      </c>
      <c r="E7" t="s">
        <v>82</v>
      </c>
      <c r="F7">
        <v>0</v>
      </c>
    </row>
    <row r="8" spans="1:8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100000</v>
      </c>
      <c r="G8">
        <v>100000</v>
      </c>
    </row>
    <row r="9" spans="1:8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250000</v>
      </c>
      <c r="G9">
        <v>250000</v>
      </c>
    </row>
    <row r="10" spans="1:8" x14ac:dyDescent="0.25">
      <c r="A10" t="s">
        <v>96</v>
      </c>
      <c r="B10" t="s">
        <v>97</v>
      </c>
      <c r="C10" t="s">
        <v>98</v>
      </c>
      <c r="D10" t="s">
        <v>99</v>
      </c>
      <c r="E10" t="s">
        <v>72</v>
      </c>
      <c r="F10">
        <v>100000</v>
      </c>
      <c r="G10">
        <v>100000</v>
      </c>
    </row>
    <row r="11" spans="1:8" x14ac:dyDescent="0.25">
      <c r="A11" t="s">
        <v>101</v>
      </c>
      <c r="B11" t="s">
        <v>102</v>
      </c>
      <c r="C11" t="s">
        <v>103</v>
      </c>
      <c r="D11" t="s">
        <v>104</v>
      </c>
      <c r="E11" t="s">
        <v>72</v>
      </c>
      <c r="F11">
        <v>100000</v>
      </c>
      <c r="G11">
        <v>100000</v>
      </c>
    </row>
    <row r="12" spans="1:8" x14ac:dyDescent="0.25">
      <c r="A12" t="s">
        <v>106</v>
      </c>
      <c r="B12" t="s">
        <v>107</v>
      </c>
      <c r="C12" t="s">
        <v>108</v>
      </c>
      <c r="D12" t="s">
        <v>109</v>
      </c>
      <c r="E12" t="s">
        <v>110</v>
      </c>
      <c r="F12">
        <v>0</v>
      </c>
    </row>
    <row r="13" spans="1:8" x14ac:dyDescent="0.25">
      <c r="A13" t="s">
        <v>111</v>
      </c>
      <c r="B13" t="s">
        <v>112</v>
      </c>
      <c r="C13" t="s">
        <v>113</v>
      </c>
      <c r="D13" t="s">
        <v>114</v>
      </c>
      <c r="E13" t="s">
        <v>72</v>
      </c>
      <c r="F13">
        <v>100000</v>
      </c>
      <c r="G13">
        <v>100000</v>
      </c>
    </row>
    <row r="14" spans="1:8" x14ac:dyDescent="0.25">
      <c r="A14" t="s">
        <v>116</v>
      </c>
      <c r="B14" t="s">
        <v>117</v>
      </c>
      <c r="C14" t="s">
        <v>118</v>
      </c>
      <c r="D14" t="s">
        <v>119</v>
      </c>
      <c r="E14" t="s">
        <v>72</v>
      </c>
      <c r="F14">
        <v>100000</v>
      </c>
      <c r="G14">
        <v>100000</v>
      </c>
    </row>
    <row r="15" spans="1:8" x14ac:dyDescent="0.25">
      <c r="A15" t="s">
        <v>121</v>
      </c>
      <c r="B15" t="s">
        <v>122</v>
      </c>
      <c r="C15" t="s">
        <v>123</v>
      </c>
      <c r="D15" t="s">
        <v>124</v>
      </c>
      <c r="E15" t="s">
        <v>72</v>
      </c>
      <c r="F15">
        <v>100000</v>
      </c>
      <c r="G15">
        <v>100000</v>
      </c>
    </row>
    <row r="16" spans="1:8" x14ac:dyDescent="0.25">
      <c r="A16" t="s">
        <v>125</v>
      </c>
      <c r="B16" t="s">
        <v>126</v>
      </c>
      <c r="C16" t="s">
        <v>127</v>
      </c>
      <c r="D16" t="s">
        <v>99</v>
      </c>
      <c r="E16" t="s">
        <v>72</v>
      </c>
      <c r="F16">
        <v>100000</v>
      </c>
      <c r="G16">
        <v>100000</v>
      </c>
    </row>
    <row r="17" spans="1:7" x14ac:dyDescent="0.25">
      <c r="A17" t="s">
        <v>128</v>
      </c>
      <c r="B17" t="s">
        <v>129</v>
      </c>
      <c r="C17" t="s">
        <v>130</v>
      </c>
      <c r="D17" t="s">
        <v>131</v>
      </c>
      <c r="E17" t="s">
        <v>82</v>
      </c>
      <c r="F17">
        <v>0</v>
      </c>
    </row>
    <row r="18" spans="1:7" x14ac:dyDescent="0.25">
      <c r="A18" t="s">
        <v>132</v>
      </c>
      <c r="B18" t="s">
        <v>133</v>
      </c>
      <c r="C18" t="s">
        <v>134</v>
      </c>
      <c r="D18" t="s">
        <v>135</v>
      </c>
      <c r="E18" t="s">
        <v>72</v>
      </c>
      <c r="F18">
        <v>100000</v>
      </c>
      <c r="G18">
        <v>100000</v>
      </c>
    </row>
    <row r="19" spans="1:7" x14ac:dyDescent="0.25">
      <c r="A19" t="s">
        <v>136</v>
      </c>
      <c r="B19" t="s">
        <v>137</v>
      </c>
      <c r="C19" t="s">
        <v>138</v>
      </c>
      <c r="D19" t="s">
        <v>139</v>
      </c>
      <c r="E19" t="s">
        <v>72</v>
      </c>
      <c r="F19">
        <v>0</v>
      </c>
    </row>
    <row r="20" spans="1:7" x14ac:dyDescent="0.25">
      <c r="A20" t="s">
        <v>140</v>
      </c>
      <c r="B20" t="s">
        <v>141</v>
      </c>
      <c r="C20" t="s">
        <v>142</v>
      </c>
      <c r="D20" t="s">
        <v>143</v>
      </c>
      <c r="E20" t="s">
        <v>72</v>
      </c>
      <c r="F20">
        <v>100000</v>
      </c>
      <c r="G20">
        <v>100000</v>
      </c>
    </row>
    <row r="21" spans="1:7" x14ac:dyDescent="0.25">
      <c r="A21" t="s">
        <v>144</v>
      </c>
      <c r="B21" t="s">
        <v>145</v>
      </c>
      <c r="C21" t="s">
        <v>146</v>
      </c>
      <c r="D21" t="s">
        <v>147</v>
      </c>
      <c r="E21" t="s">
        <v>72</v>
      </c>
      <c r="F21">
        <v>100000</v>
      </c>
      <c r="G21">
        <v>100000</v>
      </c>
    </row>
    <row r="22" spans="1:7" x14ac:dyDescent="0.25">
      <c r="A22" t="s">
        <v>148</v>
      </c>
      <c r="B22" t="s">
        <v>149</v>
      </c>
      <c r="C22" t="s">
        <v>86</v>
      </c>
      <c r="D22" t="s">
        <v>150</v>
      </c>
      <c r="E22" t="s">
        <v>82</v>
      </c>
      <c r="F22">
        <v>0</v>
      </c>
    </row>
    <row r="23" spans="1:7" x14ac:dyDescent="0.25">
      <c r="A23" t="s">
        <v>151</v>
      </c>
      <c r="B23" t="s">
        <v>152</v>
      </c>
      <c r="C23" t="s">
        <v>146</v>
      </c>
      <c r="D23" t="s">
        <v>153</v>
      </c>
      <c r="E23" t="s">
        <v>72</v>
      </c>
      <c r="F23">
        <v>100000</v>
      </c>
      <c r="G23">
        <v>100000</v>
      </c>
    </row>
    <row r="24" spans="1:7" x14ac:dyDescent="0.25">
      <c r="A24" t="s">
        <v>154</v>
      </c>
      <c r="B24" t="s">
        <v>155</v>
      </c>
      <c r="C24" t="s">
        <v>118</v>
      </c>
      <c r="D24" t="s">
        <v>156</v>
      </c>
      <c r="E24" t="s">
        <v>72</v>
      </c>
      <c r="F24">
        <v>100000</v>
      </c>
      <c r="G24">
        <v>100000</v>
      </c>
    </row>
    <row r="25" spans="1:7" x14ac:dyDescent="0.25">
      <c r="A25" t="s">
        <v>158</v>
      </c>
      <c r="B25" t="s">
        <v>159</v>
      </c>
      <c r="C25" t="s">
        <v>160</v>
      </c>
      <c r="D25" t="s">
        <v>103</v>
      </c>
      <c r="E25" t="s">
        <v>78</v>
      </c>
      <c r="F25">
        <v>0</v>
      </c>
    </row>
    <row r="26" spans="1:7" x14ac:dyDescent="0.25">
      <c r="A26" t="s">
        <v>161</v>
      </c>
      <c r="B26" t="s">
        <v>162</v>
      </c>
      <c r="C26" t="s">
        <v>163</v>
      </c>
      <c r="D26" t="s">
        <v>164</v>
      </c>
      <c r="E26" t="s">
        <v>72</v>
      </c>
      <c r="F26">
        <v>0</v>
      </c>
    </row>
    <row r="27" spans="1:7" x14ac:dyDescent="0.25">
      <c r="A27" t="s">
        <v>165</v>
      </c>
      <c r="B27" t="s">
        <v>166</v>
      </c>
      <c r="C27" t="s">
        <v>167</v>
      </c>
      <c r="D27" t="s">
        <v>168</v>
      </c>
      <c r="E27" t="s">
        <v>110</v>
      </c>
      <c r="F27">
        <v>0</v>
      </c>
    </row>
    <row r="28" spans="1:7" x14ac:dyDescent="0.25">
      <c r="A28" t="s">
        <v>169</v>
      </c>
      <c r="F28">
        <f>SUBTOTAL(109,ANTICIPOS[Total Anticipos])</f>
        <v>1610000</v>
      </c>
      <c r="G28">
        <f>SUBTOTAL(109,ANTICIPOS[ANTICIPO DE SUELDO])</f>
        <v>1550000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178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77</v>
      </c>
      <c r="D6" t="s">
        <v>81</v>
      </c>
      <c r="E6" t="s">
        <v>82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82</v>
      </c>
      <c r="F7">
        <v>0</v>
      </c>
    </row>
    <row r="8" spans="1:6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0</v>
      </c>
    </row>
    <row r="10" spans="1:6" x14ac:dyDescent="0.25">
      <c r="A10" t="s">
        <v>96</v>
      </c>
      <c r="B10" t="s">
        <v>97</v>
      </c>
      <c r="C10" t="s">
        <v>98</v>
      </c>
      <c r="D10" t="s">
        <v>99</v>
      </c>
      <c r="E10" t="s">
        <v>72</v>
      </c>
      <c r="F10">
        <v>0</v>
      </c>
    </row>
    <row r="11" spans="1:6" x14ac:dyDescent="0.25">
      <c r="A11" t="s">
        <v>101</v>
      </c>
      <c r="B11" t="s">
        <v>102</v>
      </c>
      <c r="C11" t="s">
        <v>103</v>
      </c>
      <c r="D11" t="s">
        <v>104</v>
      </c>
      <c r="E11" t="s">
        <v>72</v>
      </c>
      <c r="F11">
        <v>0</v>
      </c>
    </row>
    <row r="12" spans="1:6" x14ac:dyDescent="0.25">
      <c r="A12" t="s">
        <v>106</v>
      </c>
      <c r="B12" t="s">
        <v>107</v>
      </c>
      <c r="C12" t="s">
        <v>108</v>
      </c>
      <c r="D12" t="s">
        <v>109</v>
      </c>
      <c r="E12" t="s">
        <v>110</v>
      </c>
      <c r="F12">
        <v>0</v>
      </c>
    </row>
    <row r="13" spans="1:6" x14ac:dyDescent="0.25">
      <c r="A13" t="s">
        <v>111</v>
      </c>
      <c r="B13" t="s">
        <v>112</v>
      </c>
      <c r="C13" t="s">
        <v>113</v>
      </c>
      <c r="D13" t="s">
        <v>114</v>
      </c>
      <c r="E13" t="s">
        <v>72</v>
      </c>
      <c r="F13">
        <v>0</v>
      </c>
    </row>
    <row r="14" spans="1:6" x14ac:dyDescent="0.25">
      <c r="A14" t="s">
        <v>116</v>
      </c>
      <c r="B14" t="s">
        <v>117</v>
      </c>
      <c r="C14" t="s">
        <v>118</v>
      </c>
      <c r="D14" t="s">
        <v>119</v>
      </c>
      <c r="E14" t="s">
        <v>72</v>
      </c>
      <c r="F14">
        <v>0</v>
      </c>
    </row>
    <row r="15" spans="1:6" x14ac:dyDescent="0.25">
      <c r="A15" t="s">
        <v>121</v>
      </c>
      <c r="B15" t="s">
        <v>122</v>
      </c>
      <c r="C15" t="s">
        <v>123</v>
      </c>
      <c r="D15" t="s">
        <v>124</v>
      </c>
      <c r="E15" t="s">
        <v>72</v>
      </c>
      <c r="F15">
        <v>0</v>
      </c>
    </row>
    <row r="16" spans="1:6" x14ac:dyDescent="0.25">
      <c r="A16" t="s">
        <v>125</v>
      </c>
      <c r="B16" t="s">
        <v>126</v>
      </c>
      <c r="C16" t="s">
        <v>127</v>
      </c>
      <c r="D16" t="s">
        <v>99</v>
      </c>
      <c r="E16" t="s">
        <v>72</v>
      </c>
      <c r="F16">
        <v>0</v>
      </c>
    </row>
    <row r="17" spans="1:6" x14ac:dyDescent="0.25">
      <c r="A17" t="s">
        <v>128</v>
      </c>
      <c r="B17" t="s">
        <v>129</v>
      </c>
      <c r="C17" t="s">
        <v>130</v>
      </c>
      <c r="D17" t="s">
        <v>131</v>
      </c>
      <c r="E17" t="s">
        <v>82</v>
      </c>
      <c r="F17">
        <v>0</v>
      </c>
    </row>
    <row r="18" spans="1:6" x14ac:dyDescent="0.25">
      <c r="A18" t="s">
        <v>132</v>
      </c>
      <c r="B18" t="s">
        <v>133</v>
      </c>
      <c r="C18" t="s">
        <v>134</v>
      </c>
      <c r="D18" t="s">
        <v>135</v>
      </c>
      <c r="E18" t="s">
        <v>72</v>
      </c>
      <c r="F18">
        <v>0</v>
      </c>
    </row>
    <row r="19" spans="1:6" x14ac:dyDescent="0.25">
      <c r="A19" t="s">
        <v>136</v>
      </c>
      <c r="B19" t="s">
        <v>137</v>
      </c>
      <c r="C19" t="s">
        <v>138</v>
      </c>
      <c r="D19" t="s">
        <v>139</v>
      </c>
      <c r="E19" t="s">
        <v>72</v>
      </c>
      <c r="F19">
        <v>0</v>
      </c>
    </row>
    <row r="20" spans="1:6" x14ac:dyDescent="0.25">
      <c r="A20" t="s">
        <v>140</v>
      </c>
      <c r="B20" t="s">
        <v>141</v>
      </c>
      <c r="C20" t="s">
        <v>142</v>
      </c>
      <c r="D20" t="s">
        <v>143</v>
      </c>
      <c r="E20" t="s">
        <v>72</v>
      </c>
      <c r="F20">
        <v>0</v>
      </c>
    </row>
    <row r="21" spans="1:6" x14ac:dyDescent="0.25">
      <c r="A21" t="s">
        <v>144</v>
      </c>
      <c r="B21" t="s">
        <v>145</v>
      </c>
      <c r="C21" t="s">
        <v>146</v>
      </c>
      <c r="D21" t="s">
        <v>147</v>
      </c>
      <c r="E21" t="s">
        <v>72</v>
      </c>
      <c r="F21">
        <v>0</v>
      </c>
    </row>
    <row r="22" spans="1:6" x14ac:dyDescent="0.25">
      <c r="A22" t="s">
        <v>148</v>
      </c>
      <c r="B22" t="s">
        <v>149</v>
      </c>
      <c r="C22" t="s">
        <v>86</v>
      </c>
      <c r="D22" t="s">
        <v>150</v>
      </c>
      <c r="E22" t="s">
        <v>82</v>
      </c>
      <c r="F22">
        <v>0</v>
      </c>
    </row>
    <row r="23" spans="1:6" x14ac:dyDescent="0.25">
      <c r="A23" t="s">
        <v>151</v>
      </c>
      <c r="B23" t="s">
        <v>152</v>
      </c>
      <c r="C23" t="s">
        <v>146</v>
      </c>
      <c r="D23" t="s">
        <v>153</v>
      </c>
      <c r="E23" t="s">
        <v>72</v>
      </c>
      <c r="F23">
        <v>0</v>
      </c>
    </row>
    <row r="24" spans="1:6" x14ac:dyDescent="0.25">
      <c r="A24" t="s">
        <v>154</v>
      </c>
      <c r="B24" t="s">
        <v>155</v>
      </c>
      <c r="C24" t="s">
        <v>118</v>
      </c>
      <c r="D24" t="s">
        <v>156</v>
      </c>
      <c r="E24" t="s">
        <v>72</v>
      </c>
      <c r="F24">
        <v>0</v>
      </c>
    </row>
    <row r="25" spans="1:6" x14ac:dyDescent="0.25">
      <c r="A25" t="s">
        <v>158</v>
      </c>
      <c r="B25" t="s">
        <v>159</v>
      </c>
      <c r="C25" t="s">
        <v>160</v>
      </c>
      <c r="D25" t="s">
        <v>103</v>
      </c>
      <c r="E25" t="s">
        <v>78</v>
      </c>
      <c r="F25">
        <v>0</v>
      </c>
    </row>
    <row r="26" spans="1:6" x14ac:dyDescent="0.25">
      <c r="A26" t="s">
        <v>161</v>
      </c>
      <c r="B26" t="s">
        <v>162</v>
      </c>
      <c r="C26" t="s">
        <v>163</v>
      </c>
      <c r="D26" t="s">
        <v>164</v>
      </c>
      <c r="E26" t="s">
        <v>72</v>
      </c>
      <c r="F26">
        <v>0</v>
      </c>
    </row>
    <row r="27" spans="1:6" x14ac:dyDescent="0.25">
      <c r="A27" t="s">
        <v>165</v>
      </c>
      <c r="B27" t="s">
        <v>166</v>
      </c>
      <c r="C27" t="s">
        <v>167</v>
      </c>
      <c r="D27" t="s">
        <v>168</v>
      </c>
      <c r="E27" t="s">
        <v>110</v>
      </c>
      <c r="F27">
        <v>0</v>
      </c>
    </row>
    <row r="28" spans="1:6" x14ac:dyDescent="0.25">
      <c r="A28" t="s">
        <v>169</v>
      </c>
      <c r="F28">
        <f>SUBTOTAL(109,DESCUENTOS[Total Otros Descuentos])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LIBRO</vt:lpstr>
      <vt:lpstr>BONOS</vt:lpstr>
      <vt:lpstr>HORA EXTRA</vt:lpstr>
      <vt:lpstr>COMISIONES</vt:lpstr>
      <vt:lpstr>NO IMPONIBLE</vt:lpstr>
      <vt:lpstr>PRESTAMOS</vt:lpstr>
      <vt:lpstr>ANTICIPOS</vt:lpstr>
      <vt:lpstr>DESCUENTOS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2024-01-02T18:17:42Z</dcterms:created>
  <dcterms:modified xsi:type="dcterms:W3CDTF">2024-01-02T18:22:01Z</dcterms:modified>
  <cp:category/>
</cp:coreProperties>
</file>