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tios " sheetId="1" r:id="rId4"/>
    <sheet state="hidden" name="DASH" sheetId="2" r:id="rId5"/>
  </sheets>
  <definedNames>
    <definedName hidden="1" localSheetId="0" name="Z_58B87FD7_3629_4A3B_9249_27D363A64422_.wvu.FilterData">'Sitios '!$A$1:$P$39</definedName>
    <definedName hidden="1" localSheetId="0" name="Z_FC05773D_73F8_4CE2_8818_4D20C4316640_.wvu.FilterData">'Sitios '!$A$1:$P$39</definedName>
  </definedNames>
  <calcPr/>
  <customWorkbookViews>
    <customWorkbookView activeSheetId="0" maximized="1" windowHeight="0" windowWidth="0" guid="{58B87FD7-3629-4A3B-9249-27D363A64422}" name="Filtro 1"/>
    <customWorkbookView activeSheetId="0" maximized="1" windowHeight="0" windowWidth="0" guid="{FC05773D-73F8-4CE2-8818-4D20C4316640}" name="Filtro 2"/>
  </customWorkbookViews>
  <extLst>
    <ext uri="GoogleSheetsCustomDataVersion2">
      <go:sheetsCustomData xmlns:go="http://customooxmlschemas.google.com/" r:id="rId6" roundtripDataChecksum="zqe6HrVm6HNUMlajTfwq1J+pG0/egzIvg+ajvgpOYxg="/>
    </ext>
  </extLst>
</workbook>
</file>

<file path=xl/sharedStrings.xml><?xml version="1.0" encoding="utf-8"?>
<sst xmlns="http://schemas.openxmlformats.org/spreadsheetml/2006/main" count="243" uniqueCount="160">
  <si>
    <t>Item</t>
  </si>
  <si>
    <t>FECHA DE ENTREGA MAXIMA</t>
  </si>
  <si>
    <t>Cod. Subtel</t>
  </si>
  <si>
    <t>ALT</t>
  </si>
  <si>
    <t>Nombre Sitio</t>
  </si>
  <si>
    <t>VALIDACION</t>
  </si>
  <si>
    <t>LATITUDE</t>
  </si>
  <si>
    <t>LENGTH</t>
  </si>
  <si>
    <t>COMUNA</t>
  </si>
  <si>
    <t>REGION</t>
  </si>
  <si>
    <t>TIPO_TORRE</t>
  </si>
  <si>
    <t>MAESTRANZA</t>
  </si>
  <si>
    <t>Carpeta</t>
  </si>
  <si>
    <t>PROYECTO</t>
  </si>
  <si>
    <t>AVANCE</t>
  </si>
  <si>
    <t>Precios Suma Alzada</t>
  </si>
  <si>
    <t>SEMANA 39</t>
  </si>
  <si>
    <t>TA9977</t>
  </si>
  <si>
    <t>AB_9977_C</t>
  </si>
  <si>
    <t>Camino A357</t>
  </si>
  <si>
    <t>Colchane</t>
  </si>
  <si>
    <t>x</t>
  </si>
  <si>
    <t>TA10092</t>
  </si>
  <si>
    <t>AB_10092_A</t>
  </si>
  <si>
    <t>Cerro Picavilque</t>
  </si>
  <si>
    <t>TA9980</t>
  </si>
  <si>
    <t>AB_9980_A</t>
  </si>
  <si>
    <t>Mina de cerro Toroni</t>
  </si>
  <si>
    <t>TA9481</t>
  </si>
  <si>
    <t>AB_9481_D</t>
  </si>
  <si>
    <t>Cruce Ruta A-65 Ruta A-651</t>
  </si>
  <si>
    <t>Pozo Almonte</t>
  </si>
  <si>
    <t>AN9813</t>
  </si>
  <si>
    <t>AB_9813_A</t>
  </si>
  <si>
    <t>San Bartolo</t>
  </si>
  <si>
    <t>San Pedro De Atacama</t>
  </si>
  <si>
    <t>AN10014</t>
  </si>
  <si>
    <t>AB_10014_A</t>
  </si>
  <si>
    <t>Cerro Puntilla de San Martin</t>
  </si>
  <si>
    <t>Ollagüe</t>
  </si>
  <si>
    <t>AT10249</t>
  </si>
  <si>
    <t>AB_10249_B</t>
  </si>
  <si>
    <t>Caleta Angosta Huasco</t>
  </si>
  <si>
    <t>Huasco</t>
  </si>
  <si>
    <t>CO9819</t>
  </si>
  <si>
    <t>AB_9819_C</t>
  </si>
  <si>
    <t>Ruta D-895 3</t>
  </si>
  <si>
    <t>Canela</t>
  </si>
  <si>
    <t>CO10084</t>
  </si>
  <si>
    <t>AB_10084_F</t>
  </si>
  <si>
    <t>Huanta Ruta 41</t>
  </si>
  <si>
    <t>Vicuña</t>
  </si>
  <si>
    <t>CO9606</t>
  </si>
  <si>
    <t>AB_9606_C</t>
  </si>
  <si>
    <t>Ruta D-110 El Trapiche</t>
  </si>
  <si>
    <t>La Higuera</t>
  </si>
  <si>
    <t>CO11492</t>
  </si>
  <si>
    <t>AB_11492_C</t>
  </si>
  <si>
    <t>El Peral de Punitaqui</t>
  </si>
  <si>
    <t>Punitaqui</t>
  </si>
  <si>
    <t>CO9616</t>
  </si>
  <si>
    <t>AB_9616_A</t>
  </si>
  <si>
    <t>Ruta D-895 1</t>
  </si>
  <si>
    <t>Illapel</t>
  </si>
  <si>
    <t>CO9631</t>
  </si>
  <si>
    <t>AB_9631_B</t>
  </si>
  <si>
    <t>Rio Choapa Illapel</t>
  </si>
  <si>
    <t>CO9621</t>
  </si>
  <si>
    <t>AB_9621_B</t>
  </si>
  <si>
    <t>Tunga Norte</t>
  </si>
  <si>
    <t>CO9617</t>
  </si>
  <si>
    <t>AB_9617_A</t>
  </si>
  <si>
    <t>Ruta D-895 2</t>
  </si>
  <si>
    <t>CO10086</t>
  </si>
  <si>
    <t>AB_10086_A</t>
  </si>
  <si>
    <t>Punet Balala Ruta 41</t>
  </si>
  <si>
    <t>CO9623</t>
  </si>
  <si>
    <t>AB_9623_A</t>
  </si>
  <si>
    <t>Ruta 5 Punta Palmeras</t>
  </si>
  <si>
    <t>CO9618</t>
  </si>
  <si>
    <t>AB_9618_A</t>
  </si>
  <si>
    <t>Ruta D-895 4</t>
  </si>
  <si>
    <t>VA10341</t>
  </si>
  <si>
    <t>AB_10341_E</t>
  </si>
  <si>
    <t>Catapilco - Laguna Zapallar</t>
  </si>
  <si>
    <t>Zapallar</t>
  </si>
  <si>
    <t>OH1413</t>
  </si>
  <si>
    <t>AB_1413_F</t>
  </si>
  <si>
    <t>Pucudegua Cerro</t>
  </si>
  <si>
    <t>Nancagua</t>
  </si>
  <si>
    <t>OH8217</t>
  </si>
  <si>
    <t>AB_8217_A</t>
  </si>
  <si>
    <t>Cerro Tren Tren</t>
  </si>
  <si>
    <t>Doñihue</t>
  </si>
  <si>
    <t>MA9925</t>
  </si>
  <si>
    <t>AB_9925_H</t>
  </si>
  <si>
    <t>Lago Colbun Ruta</t>
  </si>
  <si>
    <t>Colbún</t>
  </si>
  <si>
    <t>BI9417</t>
  </si>
  <si>
    <t>AB_9417_B</t>
  </si>
  <si>
    <t>Copiulemu</t>
  </si>
  <si>
    <t>Florida</t>
  </si>
  <si>
    <t>AR2169</t>
  </si>
  <si>
    <t>AB_2169_D</t>
  </si>
  <si>
    <t>Cerro Choique</t>
  </si>
  <si>
    <t>Lonquimay</t>
  </si>
  <si>
    <t>AR9414</t>
  </si>
  <si>
    <t>AB_9414_A</t>
  </si>
  <si>
    <t>San Ernesto Puren</t>
  </si>
  <si>
    <t>Purén</t>
  </si>
  <si>
    <t>LL5294</t>
  </si>
  <si>
    <t>AB_5294_J</t>
  </si>
  <si>
    <t>Estacionamiento El Tepual</t>
  </si>
  <si>
    <t>Puerto Montt</t>
  </si>
  <si>
    <t>LL9932</t>
  </si>
  <si>
    <t>AB_9932_D</t>
  </si>
  <si>
    <t>Camino La Ensenada Norte</t>
  </si>
  <si>
    <t>Puerto Varas</t>
  </si>
  <si>
    <t>AY6583</t>
  </si>
  <si>
    <t>AB_6583_E</t>
  </si>
  <si>
    <t>Cochrane</t>
  </si>
  <si>
    <t>MG9451</t>
  </si>
  <si>
    <t>AB_9451_C</t>
  </si>
  <si>
    <t>Bahia Gregorio</t>
  </si>
  <si>
    <t>San Gregorio</t>
  </si>
  <si>
    <t>MG9944</t>
  </si>
  <si>
    <t>AB_9944_A</t>
  </si>
  <si>
    <t>Ruta Laguna de los Palos</t>
  </si>
  <si>
    <t>Laguna Blanca</t>
  </si>
  <si>
    <t>RM10163</t>
  </si>
  <si>
    <t>AB_10163_A</t>
  </si>
  <si>
    <t>Hijuela Oriente Pelvin</t>
  </si>
  <si>
    <t>Peñaflor</t>
  </si>
  <si>
    <t>Se actualizó planos 16-08-2023</t>
  </si>
  <si>
    <t>AP10324</t>
  </si>
  <si>
    <t>AB_10324_A</t>
  </si>
  <si>
    <t>Cuenca del rio Lluta_1</t>
  </si>
  <si>
    <t>General Lagos</t>
  </si>
  <si>
    <t>CO9607</t>
  </si>
  <si>
    <t>AB_9607_A</t>
  </si>
  <si>
    <t>Ruta 5 Quebrada Honda</t>
  </si>
  <si>
    <t>LL9934</t>
  </si>
  <si>
    <t>AB_9934_G</t>
  </si>
  <si>
    <t>Mirador Isla Marimeli</t>
  </si>
  <si>
    <t>Cochamó</t>
  </si>
  <si>
    <t>MA9921</t>
  </si>
  <si>
    <t>AB_9921_E</t>
  </si>
  <si>
    <t>Subestacion Pehuenche</t>
  </si>
  <si>
    <t>RM10176</t>
  </si>
  <si>
    <t>AB_10176_B</t>
  </si>
  <si>
    <t>Cerro La Cruz-Peñalolen</t>
  </si>
  <si>
    <t>Peñalolén</t>
  </si>
  <si>
    <t>VA9601</t>
  </si>
  <si>
    <t>AB_9601_B</t>
  </si>
  <si>
    <t>Ruta Papudo - Zapallar</t>
  </si>
  <si>
    <t>AY2498</t>
  </si>
  <si>
    <t>AB_2498_C</t>
  </si>
  <si>
    <t>Laguna Foitzick</t>
  </si>
  <si>
    <t>Coyhaique</t>
  </si>
  <si>
    <t>Cargado plano de fundación 17-08-2023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</si>
</sst>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&quot;$&quot;#,##0.00"/>
  </numFmts>
  <fonts count="6">
    <font>
      <sz val="10.0"/>
      <color rgb="FF000000"/>
      <name val="Arial"/>
      <scheme val="minor"/>
    </font>
    <font>
      <b/>
      <sz val="9.0"/>
      <color rgb="FFFFFFFF"/>
      <name val="Arial"/>
    </font>
    <font>
      <color theme="1"/>
      <name val="Arial"/>
      <scheme val="minor"/>
    </font>
    <font>
      <color theme="1"/>
      <name val="Arial"/>
    </font>
    <font>
      <sz val="11.0"/>
      <color rgb="FF000000"/>
      <name val="Calibri"/>
    </font>
    <font>
      <color rgb="FFFFFFFF"/>
      <name val="Arial"/>
    </font>
  </fonts>
  <fills count="7">
    <fill>
      <patternFill patternType="none"/>
    </fill>
    <fill>
      <patternFill patternType="lightGray"/>
    </fill>
    <fill>
      <patternFill patternType="solid">
        <fgColor rgb="FF20124D"/>
        <bgColor rgb="FF20124D"/>
      </patternFill>
    </fill>
    <fill>
      <patternFill patternType="solid">
        <fgColor rgb="FFEAD1DC"/>
        <bgColor rgb="FFEAD1DC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A9D08E"/>
        <bgColor rgb="FFA9D08E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1" fillId="2" fontId="1" numFmtId="0" xfId="0" applyAlignment="1" applyBorder="1" applyFont="1">
      <alignment horizontal="center" readingOrder="0" shrinkToFit="0" vertical="bottom" wrapText="1"/>
    </xf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3" fontId="4" numFmtId="0" xfId="0" applyAlignment="1" applyBorder="1" applyFill="1" applyFont="1">
      <alignment horizontal="center" shrinkToFit="0" vertical="bottom" wrapText="0"/>
    </xf>
    <xf borderId="1" fillId="0" fontId="3" numFmtId="0" xfId="0" applyBorder="1" applyFont="1"/>
    <xf borderId="1" fillId="4" fontId="3" numFmtId="0" xfId="0" applyAlignment="1" applyBorder="1" applyFill="1" applyFont="1">
      <alignment horizontal="center"/>
    </xf>
    <xf borderId="1" fillId="0" fontId="2" numFmtId="0" xfId="0" applyBorder="1" applyFont="1"/>
    <xf borderId="1" fillId="5" fontId="3" numFmtId="0" xfId="0" applyBorder="1" applyFill="1" applyFont="1"/>
    <xf borderId="1" fillId="5" fontId="3" numFmtId="0" xfId="0" applyAlignment="1" applyBorder="1" applyFont="1">
      <alignment horizontal="center"/>
    </xf>
    <xf borderId="1" fillId="6" fontId="3" numFmtId="0" xfId="0" applyAlignment="1" applyBorder="1" applyFill="1" applyFont="1">
      <alignment horizontal="center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vertical="bottom"/>
    </xf>
    <xf borderId="1" fillId="0" fontId="3" numFmtId="0" xfId="0" applyAlignment="1" applyBorder="1" applyFont="1">
      <alignment readingOrder="0" vertical="bottom"/>
    </xf>
    <xf borderId="1" fillId="0" fontId="2" numFmtId="0" xfId="0" applyAlignment="1" applyBorder="1" applyFont="1">
      <alignment readingOrder="0"/>
    </xf>
    <xf borderId="0" fillId="0" fontId="3" numFmtId="0" xfId="0" applyAlignment="1" applyFont="1">
      <alignment horizontal="center"/>
    </xf>
    <xf borderId="0" fillId="2" fontId="5" numFmtId="0" xfId="0" applyFont="1"/>
    <xf borderId="0" fillId="2" fontId="5" numFmtId="164" xfId="0" applyFont="1" applyNumberFormat="1"/>
    <xf borderId="0" fillId="0" fontId="3" numFmtId="0" xfId="0" applyFont="1"/>
    <xf borderId="0" fillId="0" fontId="3" numFmtId="164" xfId="0" applyFont="1" applyNumberFormat="1"/>
    <xf borderId="0" fillId="0" fontId="3" numFmtId="3" xfId="0" applyFont="1" applyNumberFormat="1"/>
    <xf borderId="0" fillId="0" fontId="3" numFmtId="10" xfId="0" applyFont="1" applyNumberFormat="1"/>
    <xf borderId="0" fillId="0" fontId="3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6.63"/>
    <col customWidth="1" min="2" max="2" width="11.13"/>
    <col customWidth="1" min="3" max="3" width="11.88"/>
    <col customWidth="1" min="4" max="4" width="10.88"/>
    <col customWidth="1" min="5" max="5" width="22.25"/>
    <col customWidth="1" hidden="1" min="6" max="6" width="16.75"/>
    <col customWidth="1" min="7" max="7" width="10.75"/>
    <col customWidth="1" min="8" max="8" width="9.63"/>
    <col customWidth="1" min="9" max="9" width="18.5"/>
    <col customWidth="1" min="10" max="10" width="9.38"/>
    <col customWidth="1" min="11" max="11" width="13.0"/>
    <col customWidth="1" min="12" max="12" width="14.0"/>
    <col customWidth="1" min="13" max="13" width="9.13"/>
    <col customWidth="1" min="14" max="14" width="11.88"/>
    <col customWidth="1" min="15" max="15" width="11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3"/>
      <c r="R1" s="3"/>
      <c r="S1" s="3"/>
      <c r="T1" s="3"/>
      <c r="U1" s="3"/>
      <c r="V1" s="3"/>
      <c r="W1" s="3"/>
      <c r="X1" s="3"/>
      <c r="Y1" s="3"/>
    </row>
    <row r="2" ht="15.75" customHeight="1">
      <c r="A2" s="4">
        <v>1.0</v>
      </c>
      <c r="B2" s="5" t="s">
        <v>16</v>
      </c>
      <c r="C2" s="6" t="s">
        <v>17</v>
      </c>
      <c r="D2" s="6" t="s">
        <v>18</v>
      </c>
      <c r="E2" s="6" t="s">
        <v>19</v>
      </c>
      <c r="F2" s="6" t="str">
        <f>VLOOKUP(C2,DASH!C:E,3,FALSE)</f>
        <v>EN VALIDACION COMPRAS</v>
      </c>
      <c r="G2" s="4">
        <v>-19.344658</v>
      </c>
      <c r="H2" s="4">
        <v>-68.665651</v>
      </c>
      <c r="I2" s="4" t="s">
        <v>20</v>
      </c>
      <c r="J2" s="7">
        <v>1.0</v>
      </c>
      <c r="K2" s="4" t="str">
        <f>VLOOKUP(C2,DASH!C:L,5,FALSE)</f>
        <v>AS48</v>
      </c>
      <c r="L2" s="4" t="str">
        <f>VLOOKUP(C2,DASH!C:L,6,FALSE)</f>
        <v>ADM</v>
      </c>
      <c r="M2" s="4" t="s">
        <v>21</v>
      </c>
      <c r="N2" s="6" t="str">
        <f>VLOOKUP(C2,DASH!C:M,11,FALSE)</f>
        <v>PP</v>
      </c>
      <c r="O2" s="6" t="str">
        <f>VLOOKUP(C2,DASH!C:F,4,FALSE)</f>
        <v/>
      </c>
      <c r="P2" s="8"/>
    </row>
    <row r="3" ht="15.75" customHeight="1">
      <c r="A3" s="4">
        <v>2.0</v>
      </c>
      <c r="B3" s="5" t="s">
        <v>16</v>
      </c>
      <c r="C3" s="6" t="s">
        <v>22</v>
      </c>
      <c r="D3" s="6" t="s">
        <v>23</v>
      </c>
      <c r="E3" s="6" t="s">
        <v>24</v>
      </c>
      <c r="F3" s="6" t="str">
        <f>VLOOKUP(C3,DASH!C:E,3,FALSE)</f>
        <v>EN VALIDACION COMPRAS</v>
      </c>
      <c r="G3" s="4">
        <v>-19.697332</v>
      </c>
      <c r="H3" s="4">
        <v>-68.736938</v>
      </c>
      <c r="I3" s="4" t="s">
        <v>20</v>
      </c>
      <c r="J3" s="7">
        <v>1.0</v>
      </c>
      <c r="K3" s="4" t="str">
        <f>VLOOKUP(C3,DASH!C:L,5,FALSE)</f>
        <v>CV36</v>
      </c>
      <c r="L3" s="4" t="str">
        <f>VLOOKUP(C3,DASH!C:L,6,FALSE)</f>
        <v>INGENIUS</v>
      </c>
      <c r="M3" s="4" t="s">
        <v>21</v>
      </c>
      <c r="N3" s="6" t="str">
        <f>VLOOKUP(C3,DASH!C:M,11,FALSE)</f>
        <v>PP</v>
      </c>
      <c r="O3" s="6" t="str">
        <f>VLOOKUP(C3,DASH!C:F,4,FALSE)</f>
        <v/>
      </c>
      <c r="P3" s="8"/>
    </row>
    <row r="4" ht="15.75" customHeight="1">
      <c r="A4" s="4">
        <v>3.0</v>
      </c>
      <c r="B4" s="5" t="s">
        <v>16</v>
      </c>
      <c r="C4" s="6" t="s">
        <v>25</v>
      </c>
      <c r="D4" s="6" t="s">
        <v>26</v>
      </c>
      <c r="E4" s="6" t="s">
        <v>27</v>
      </c>
      <c r="F4" s="6" t="str">
        <f>VLOOKUP(C4,DASH!C:E,3,FALSE)</f>
        <v>EN VALIDACION COMPRAS</v>
      </c>
      <c r="G4" s="4">
        <v>-19.628404</v>
      </c>
      <c r="H4" s="4">
        <v>-68.733818</v>
      </c>
      <c r="I4" s="4" t="s">
        <v>20</v>
      </c>
      <c r="J4" s="7">
        <v>1.0</v>
      </c>
      <c r="K4" s="4" t="str">
        <f>VLOOKUP(C4,DASH!C:L,5,FALSE)</f>
        <v>CV36</v>
      </c>
      <c r="L4" s="4" t="str">
        <f>VLOOKUP(C4,DASH!C:L,6,FALSE)</f>
        <v>MESPAR</v>
      </c>
      <c r="M4" s="4" t="s">
        <v>21</v>
      </c>
      <c r="N4" s="6" t="str">
        <f>VLOOKUP(C4,DASH!C:M,11,FALSE)</f>
        <v>PP</v>
      </c>
      <c r="O4" s="6" t="str">
        <f>VLOOKUP(C4,DASH!C:F,4,FALSE)</f>
        <v/>
      </c>
      <c r="P4" s="8"/>
    </row>
    <row r="5" ht="15.75" customHeight="1">
      <c r="A5" s="4">
        <v>4.0</v>
      </c>
      <c r="B5" s="5" t="s">
        <v>16</v>
      </c>
      <c r="C5" s="6" t="s">
        <v>28</v>
      </c>
      <c r="D5" s="6" t="s">
        <v>29</v>
      </c>
      <c r="E5" s="6" t="s">
        <v>30</v>
      </c>
      <c r="F5" s="6" t="str">
        <f>VLOOKUP(C5,DASH!C:E,3,FALSE)</f>
        <v>EN VALIDACION COMPRAS</v>
      </c>
      <c r="G5" s="4">
        <v>-20.247302</v>
      </c>
      <c r="H5" s="4">
        <v>-69.630417</v>
      </c>
      <c r="I5" s="4" t="s">
        <v>31</v>
      </c>
      <c r="J5" s="7">
        <v>1.0</v>
      </c>
      <c r="K5" s="4" t="str">
        <f>VLOOKUP(C5,DASH!C:L,5,FALSE)</f>
        <v>AS48</v>
      </c>
      <c r="L5" s="4" t="str">
        <f>VLOOKUP(C5,DASH!C:L,6,FALSE)</f>
        <v>SYC</v>
      </c>
      <c r="M5" s="4" t="s">
        <v>21</v>
      </c>
      <c r="N5" s="6" t="str">
        <f>VLOOKUP(C5,DASH!C:M,11,FALSE)</f>
        <v>PP</v>
      </c>
      <c r="O5" s="6" t="str">
        <f>VLOOKUP(C5,DASH!C:F,4,FALSE)</f>
        <v/>
      </c>
      <c r="P5" s="8"/>
    </row>
    <row r="6" ht="15.75" customHeight="1">
      <c r="A6" s="4">
        <v>5.0</v>
      </c>
      <c r="B6" s="5" t="s">
        <v>16</v>
      </c>
      <c r="C6" s="9" t="s">
        <v>32</v>
      </c>
      <c r="D6" s="9" t="s">
        <v>33</v>
      </c>
      <c r="E6" s="9" t="s">
        <v>34</v>
      </c>
      <c r="F6" s="9" t="str">
        <f>VLOOKUP(C6,DASH!C:E,3,FALSE)</f>
        <v>EN VALIDACION COMPRAS</v>
      </c>
      <c r="G6" s="10">
        <v>-22.637217</v>
      </c>
      <c r="H6" s="10">
        <v>-68.229269</v>
      </c>
      <c r="I6" s="10" t="s">
        <v>35</v>
      </c>
      <c r="J6" s="7">
        <v>2.0</v>
      </c>
      <c r="K6" s="10" t="str">
        <f>VLOOKUP(C6,DASH!C:L,5,FALSE)</f>
        <v>CV36</v>
      </c>
      <c r="L6" s="10" t="str">
        <f>VLOOKUP(C6,DASH!C:L,6,FALSE)</f>
        <v>DEITEL</v>
      </c>
      <c r="M6" s="10" t="s">
        <v>21</v>
      </c>
      <c r="N6" s="9" t="str">
        <f>VLOOKUP(C6,DASH!C:M,11,FALSE)</f>
        <v>LLOO</v>
      </c>
      <c r="O6" s="6"/>
      <c r="P6" s="8"/>
    </row>
    <row r="7" ht="15.75" customHeight="1">
      <c r="A7" s="4">
        <v>6.0</v>
      </c>
      <c r="B7" s="5" t="s">
        <v>16</v>
      </c>
      <c r="C7" s="9" t="s">
        <v>36</v>
      </c>
      <c r="D7" s="9" t="s">
        <v>37</v>
      </c>
      <c r="E7" s="9" t="s">
        <v>38</v>
      </c>
      <c r="F7" s="9" t="str">
        <f>VLOOKUP(C7,DASH!C:E,3,FALSE)</f>
        <v>EN VALIDACION COMPRAS</v>
      </c>
      <c r="G7" s="10">
        <v>-21.417242</v>
      </c>
      <c r="H7" s="10">
        <v>-68.34398</v>
      </c>
      <c r="I7" s="10" t="s">
        <v>39</v>
      </c>
      <c r="J7" s="7">
        <v>2.0</v>
      </c>
      <c r="K7" s="10" t="str">
        <f>VLOOKUP(C7,DASH!C:L,5,FALSE)</f>
        <v>CV60</v>
      </c>
      <c r="L7" s="10" t="str">
        <f>VLOOKUP(C7,DASH!C:L,6,FALSE)</f>
        <v>INCOSERV</v>
      </c>
      <c r="M7" s="10" t="s">
        <v>21</v>
      </c>
      <c r="N7" s="9" t="str">
        <f>VLOOKUP(C7,DASH!C:M,11,FALSE)</f>
        <v>PCM</v>
      </c>
      <c r="O7" s="6" t="str">
        <f>VLOOKUP(C7,DASH!C:F,4,FALSE)</f>
        <v/>
      </c>
      <c r="P7" s="8"/>
    </row>
    <row r="8" ht="15.75" customHeight="1">
      <c r="A8" s="4">
        <v>7.0</v>
      </c>
      <c r="B8" s="5" t="s">
        <v>16</v>
      </c>
      <c r="C8" s="6" t="s">
        <v>40</v>
      </c>
      <c r="D8" s="6" t="s">
        <v>41</v>
      </c>
      <c r="E8" s="6" t="s">
        <v>42</v>
      </c>
      <c r="F8" s="6" t="str">
        <f>VLOOKUP(C8,DASH!C:E,3,FALSE)</f>
        <v>EN VALIDACION COMPRAS</v>
      </c>
      <c r="G8" s="4">
        <v>-28.278313</v>
      </c>
      <c r="H8" s="4">
        <v>-71.130756</v>
      </c>
      <c r="I8" s="4" t="s">
        <v>43</v>
      </c>
      <c r="J8" s="7">
        <v>3.0</v>
      </c>
      <c r="K8" s="4" t="str">
        <f>VLOOKUP(C8,DASH!C:L,5,FALSE)</f>
        <v>CV60</v>
      </c>
      <c r="L8" s="4" t="str">
        <f>VLOOKUP(C8,DASH!C:L,6,FALSE)</f>
        <v>DEPROMET</v>
      </c>
      <c r="M8" s="4" t="s">
        <v>21</v>
      </c>
      <c r="N8" s="6" t="str">
        <f>VLOOKUP(C8,DASH!C:M,11,FALSE)</f>
        <v>PCM</v>
      </c>
      <c r="O8" s="6"/>
      <c r="P8" s="8"/>
    </row>
    <row r="9" ht="15.75" customHeight="1">
      <c r="A9" s="4">
        <v>8.0</v>
      </c>
      <c r="B9" s="5" t="s">
        <v>16</v>
      </c>
      <c r="C9" s="6" t="s">
        <v>44</v>
      </c>
      <c r="D9" s="6" t="s">
        <v>45</v>
      </c>
      <c r="E9" s="6" t="s">
        <v>46</v>
      </c>
      <c r="F9" s="6" t="str">
        <f>VLOOKUP(C9,DASH!C:E,3,FALSE)</f>
        <v>EN VALIDACION COMPRAS</v>
      </c>
      <c r="G9" s="4">
        <v>-31.446006</v>
      </c>
      <c r="H9" s="4">
        <v>-71.21079</v>
      </c>
      <c r="I9" s="4" t="s">
        <v>47</v>
      </c>
      <c r="J9" s="4">
        <v>4.0</v>
      </c>
      <c r="K9" s="4" t="str">
        <f>VLOOKUP(C9,DASH!C:L,5,FALSE)</f>
        <v>CV42</v>
      </c>
      <c r="L9" s="4" t="str">
        <f>VLOOKUP(C9,DASH!C:L,6,FALSE)</f>
        <v>AJ</v>
      </c>
      <c r="M9" s="4" t="s">
        <v>21</v>
      </c>
      <c r="N9" s="6" t="str">
        <f>VLOOKUP(C9,DASH!C:M,11,FALSE)</f>
        <v>PP</v>
      </c>
      <c r="O9" s="6" t="str">
        <f>VLOOKUP(C9,DASH!C:F,4,FALSE)</f>
        <v/>
      </c>
      <c r="P9" s="8"/>
    </row>
    <row r="10" ht="15.75" customHeight="1">
      <c r="A10" s="4">
        <v>9.0</v>
      </c>
      <c r="B10" s="5" t="s">
        <v>16</v>
      </c>
      <c r="C10" s="6" t="s">
        <v>48</v>
      </c>
      <c r="D10" s="6" t="s">
        <v>49</v>
      </c>
      <c r="E10" s="6" t="s">
        <v>50</v>
      </c>
      <c r="F10" s="6" t="str">
        <f>VLOOKUP(C10,DASH!C:E,3,FALSE)</f>
        <v>EN VALIDACION COMPRAS</v>
      </c>
      <c r="G10" s="4">
        <v>-29.877115</v>
      </c>
      <c r="H10" s="4">
        <v>-70.346473</v>
      </c>
      <c r="I10" s="4" t="s">
        <v>51</v>
      </c>
      <c r="J10" s="4">
        <v>4.0</v>
      </c>
      <c r="K10" s="4" t="str">
        <f>VLOOKUP(C10,DASH!C:L,5,FALSE)</f>
        <v>CV60</v>
      </c>
      <c r="L10" s="4" t="str">
        <f>VLOOKUP(C10,DASH!C:L,6,FALSE)</f>
        <v>AJ</v>
      </c>
      <c r="M10" s="4" t="s">
        <v>21</v>
      </c>
      <c r="N10" s="6" t="str">
        <f>VLOOKUP(C10,DASH!C:M,11,FALSE)</f>
        <v>PP</v>
      </c>
      <c r="O10" s="6" t="str">
        <f>VLOOKUP(C10,DASH!C:F,4,FALSE)</f>
        <v/>
      </c>
      <c r="P10" s="8"/>
    </row>
    <row r="11" ht="15.75" customHeight="1">
      <c r="A11" s="4">
        <v>10.0</v>
      </c>
      <c r="B11" s="5" t="s">
        <v>16</v>
      </c>
      <c r="C11" s="6" t="s">
        <v>52</v>
      </c>
      <c r="D11" s="6" t="s">
        <v>53</v>
      </c>
      <c r="E11" s="6" t="s">
        <v>54</v>
      </c>
      <c r="F11" s="6" t="str">
        <f>VLOOKUP(C11,DASH!C:E,3,FALSE)</f>
        <v>EN VALIDACION COMPRAS</v>
      </c>
      <c r="G11" s="4">
        <v>-29.363224</v>
      </c>
      <c r="H11" s="4">
        <v>-71.146767</v>
      </c>
      <c r="I11" s="4" t="s">
        <v>55</v>
      </c>
      <c r="J11" s="4">
        <v>4.0</v>
      </c>
      <c r="K11" s="4" t="str">
        <f>VLOOKUP(C11,DASH!C:L,5,FALSE)</f>
        <v>AS42</v>
      </c>
      <c r="L11" s="4" t="str">
        <f>VLOOKUP(C11,DASH!C:L,6,FALSE)</f>
        <v>DEITEL</v>
      </c>
      <c r="M11" s="4" t="s">
        <v>21</v>
      </c>
      <c r="N11" s="6" t="str">
        <f>VLOOKUP(C11,DASH!C:M,11,FALSE)</f>
        <v>PP</v>
      </c>
      <c r="O11" s="6" t="str">
        <f>VLOOKUP(C11,DASH!C:F,4,FALSE)</f>
        <v/>
      </c>
      <c r="P11" s="8"/>
    </row>
    <row r="12" ht="15.75" customHeight="1">
      <c r="A12" s="4">
        <v>11.0</v>
      </c>
      <c r="B12" s="5" t="s">
        <v>16</v>
      </c>
      <c r="C12" s="6" t="s">
        <v>56</v>
      </c>
      <c r="D12" s="6" t="s">
        <v>57</v>
      </c>
      <c r="E12" s="6" t="s">
        <v>58</v>
      </c>
      <c r="F12" s="6" t="str">
        <f>VLOOKUP(C12,DASH!C:E,3,FALSE)</f>
        <v>EN VALIDACION COMPRAS</v>
      </c>
      <c r="G12" s="4">
        <v>-30.901389</v>
      </c>
      <c r="H12" s="4">
        <v>-71.300472</v>
      </c>
      <c r="I12" s="4" t="s">
        <v>59</v>
      </c>
      <c r="J12" s="4">
        <v>4.0</v>
      </c>
      <c r="K12" s="4" t="str">
        <f>VLOOKUP(C12,DASH!C:L,5,FALSE)</f>
        <v>CV36</v>
      </c>
      <c r="L12" s="4" t="str">
        <f>VLOOKUP(C12,DASH!C:L,6,FALSE)</f>
        <v>DEITEL</v>
      </c>
      <c r="M12" s="4" t="s">
        <v>21</v>
      </c>
      <c r="N12" s="6" t="str">
        <f>VLOOKUP(C12,DASH!C:M,11,FALSE)</f>
        <v>PCM_2</v>
      </c>
      <c r="O12" s="6" t="str">
        <f>VLOOKUP(C12,DASH!C:F,4,FALSE)</f>
        <v/>
      </c>
      <c r="P12" s="8"/>
    </row>
    <row r="13" ht="15.75" customHeight="1">
      <c r="A13" s="4">
        <v>12.0</v>
      </c>
      <c r="B13" s="5" t="s">
        <v>16</v>
      </c>
      <c r="C13" s="6" t="s">
        <v>60</v>
      </c>
      <c r="D13" s="6" t="s">
        <v>61</v>
      </c>
      <c r="E13" s="6" t="s">
        <v>62</v>
      </c>
      <c r="F13" s="6" t="str">
        <f>VLOOKUP(C13,DASH!C:E,3,FALSE)</f>
        <v>EN VALIDACION COMPRAS</v>
      </c>
      <c r="G13" s="4">
        <v>-31.469545</v>
      </c>
      <c r="H13" s="4">
        <v>-71.137796</v>
      </c>
      <c r="I13" s="4" t="s">
        <v>63</v>
      </c>
      <c r="J13" s="4">
        <v>4.0</v>
      </c>
      <c r="K13" s="4" t="str">
        <f>VLOOKUP(C13,DASH!C:L,5,FALSE)</f>
        <v>CV60</v>
      </c>
      <c r="L13" s="4" t="str">
        <f>VLOOKUP(C13,DASH!C:L,6,FALSE)</f>
        <v>DEPROMET</v>
      </c>
      <c r="M13" s="4" t="s">
        <v>21</v>
      </c>
      <c r="N13" s="6" t="str">
        <f>VLOOKUP(C13,DASH!C:M,11,FALSE)</f>
        <v>PP</v>
      </c>
      <c r="O13" s="6" t="str">
        <f>VLOOKUP(C13,DASH!C:F,4,FALSE)</f>
        <v/>
      </c>
      <c r="P13" s="8"/>
    </row>
    <row r="14" ht="15.75" customHeight="1">
      <c r="A14" s="4">
        <v>13.0</v>
      </c>
      <c r="B14" s="5" t="s">
        <v>16</v>
      </c>
      <c r="C14" s="6" t="s">
        <v>64</v>
      </c>
      <c r="D14" s="6" t="s">
        <v>65</v>
      </c>
      <c r="E14" s="6" t="s">
        <v>66</v>
      </c>
      <c r="F14" s="6" t="str">
        <f>VLOOKUP(C14,DASH!C:E,3,FALSE)</f>
        <v>EN VALIDACION COMPRAS</v>
      </c>
      <c r="G14" s="4">
        <v>-31.659473</v>
      </c>
      <c r="H14" s="4">
        <v>-71.323757</v>
      </c>
      <c r="I14" s="4" t="s">
        <v>63</v>
      </c>
      <c r="J14" s="4">
        <v>4.0</v>
      </c>
      <c r="K14" s="4" t="str">
        <f>VLOOKUP(C14,DASH!C:L,5,FALSE)</f>
        <v>CV60</v>
      </c>
      <c r="L14" s="4" t="str">
        <f>VLOOKUP(C14,DASH!C:L,6,FALSE)</f>
        <v>DEPROMET</v>
      </c>
      <c r="M14" s="4" t="s">
        <v>21</v>
      </c>
      <c r="N14" s="6" t="str">
        <f>VLOOKUP(C14,DASH!C:M,11,FALSE)</f>
        <v>PP</v>
      </c>
      <c r="O14" s="6" t="str">
        <f>VLOOKUP(C14,DASH!C:F,4,FALSE)</f>
        <v/>
      </c>
      <c r="P14" s="8"/>
    </row>
    <row r="15" ht="15.75" customHeight="1">
      <c r="A15" s="4">
        <v>14.0</v>
      </c>
      <c r="B15" s="5" t="s">
        <v>16</v>
      </c>
      <c r="C15" s="6" t="s">
        <v>67</v>
      </c>
      <c r="D15" s="6" t="s">
        <v>68</v>
      </c>
      <c r="E15" s="6" t="s">
        <v>69</v>
      </c>
      <c r="F15" s="6" t="str">
        <f>VLOOKUP(C15,DASH!C:E,3,FALSE)</f>
        <v>EN VALIDACION COMPRAS</v>
      </c>
      <c r="G15" s="4">
        <v>-31.624997</v>
      </c>
      <c r="H15" s="4">
        <v>-71.361737</v>
      </c>
      <c r="I15" s="4" t="s">
        <v>63</v>
      </c>
      <c r="J15" s="4">
        <v>4.0</v>
      </c>
      <c r="K15" s="4" t="str">
        <f>VLOOKUP(C15,DASH!C:L,5,FALSE)</f>
        <v>CV48</v>
      </c>
      <c r="L15" s="4" t="str">
        <f>VLOOKUP(C15,DASH!C:L,6,FALSE)</f>
        <v>INCOSERV</v>
      </c>
      <c r="M15" s="4" t="s">
        <v>21</v>
      </c>
      <c r="N15" s="6" t="str">
        <f>VLOOKUP(C15,DASH!C:M,11,FALSE)</f>
        <v>PP</v>
      </c>
      <c r="O15" s="6" t="str">
        <f>VLOOKUP(C15,DASH!C:F,4,FALSE)</f>
        <v/>
      </c>
      <c r="P15" s="8"/>
    </row>
    <row r="16" ht="15.75" customHeight="1">
      <c r="A16" s="4">
        <v>15.0</v>
      </c>
      <c r="B16" s="5" t="s">
        <v>16</v>
      </c>
      <c r="C16" s="6" t="s">
        <v>70</v>
      </c>
      <c r="D16" s="6" t="s">
        <v>71</v>
      </c>
      <c r="E16" s="6" t="s">
        <v>72</v>
      </c>
      <c r="F16" s="6" t="str">
        <f>VLOOKUP(C16,DASH!C:E,3,FALSE)</f>
        <v>EN VALIDACION COMPRAS</v>
      </c>
      <c r="G16" s="4">
        <v>-31.467364</v>
      </c>
      <c r="H16" s="4">
        <v>-71.190113</v>
      </c>
      <c r="I16" s="4" t="s">
        <v>63</v>
      </c>
      <c r="J16" s="4">
        <v>4.0</v>
      </c>
      <c r="K16" s="4" t="str">
        <f>VLOOKUP(C16,DASH!C:L,5,FALSE)</f>
        <v>CV36</v>
      </c>
      <c r="L16" s="4" t="str">
        <f>VLOOKUP(C16,DASH!C:L,6,FALSE)</f>
        <v>INGENIUS</v>
      </c>
      <c r="M16" s="4" t="s">
        <v>21</v>
      </c>
      <c r="N16" s="6" t="str">
        <f>VLOOKUP(C16,DASH!C:M,11,FALSE)</f>
        <v>PP</v>
      </c>
      <c r="O16" s="6" t="str">
        <f>VLOOKUP(C16,DASH!C:F,4,FALSE)</f>
        <v/>
      </c>
      <c r="P16" s="8"/>
    </row>
    <row r="17" ht="15.75" customHeight="1">
      <c r="A17" s="4">
        <v>16.0</v>
      </c>
      <c r="B17" s="5" t="s">
        <v>16</v>
      </c>
      <c r="C17" s="6" t="s">
        <v>73</v>
      </c>
      <c r="D17" s="6" t="s">
        <v>74</v>
      </c>
      <c r="E17" s="6" t="s">
        <v>75</v>
      </c>
      <c r="F17" s="6" t="str">
        <f>VLOOKUP(C17,DASH!C:E,3,FALSE)</f>
        <v>EN VALIDACION COMPRAS</v>
      </c>
      <c r="G17" s="4">
        <v>-29.920924</v>
      </c>
      <c r="H17" s="4">
        <v>-70.296926</v>
      </c>
      <c r="I17" s="4" t="s">
        <v>51</v>
      </c>
      <c r="J17" s="4">
        <v>4.0</v>
      </c>
      <c r="K17" s="4" t="str">
        <f>VLOOKUP(C17,DASH!C:L,5,FALSE)</f>
        <v>CV42</v>
      </c>
      <c r="L17" s="4" t="str">
        <f>VLOOKUP(C17,DASH!C:L,6,FALSE)</f>
        <v>INGENIUS</v>
      </c>
      <c r="M17" s="4" t="s">
        <v>21</v>
      </c>
      <c r="N17" s="6" t="str">
        <f>VLOOKUP(C17,DASH!C:M,11,FALSE)</f>
        <v>PP</v>
      </c>
      <c r="O17" s="6" t="str">
        <f>VLOOKUP(C17,DASH!C:F,4,FALSE)</f>
        <v/>
      </c>
      <c r="P17" s="8"/>
    </row>
    <row r="18" ht="15.75" customHeight="1">
      <c r="A18" s="4">
        <v>17.0</v>
      </c>
      <c r="B18" s="5" t="s">
        <v>16</v>
      </c>
      <c r="C18" s="6" t="s">
        <v>76</v>
      </c>
      <c r="D18" s="6" t="s">
        <v>77</v>
      </c>
      <c r="E18" s="6" t="s">
        <v>78</v>
      </c>
      <c r="F18" s="6" t="str">
        <f>VLOOKUP(C18,DASH!C:E,3,FALSE)</f>
        <v>SITIO ASIGNADO</v>
      </c>
      <c r="G18" s="4">
        <v>-31.228384</v>
      </c>
      <c r="H18" s="4">
        <v>-71.589483</v>
      </c>
      <c r="I18" s="4" t="s">
        <v>47</v>
      </c>
      <c r="J18" s="4">
        <v>4.0</v>
      </c>
      <c r="K18" s="4" t="str">
        <f>VLOOKUP(C18,DASH!C:L,5,FALSE)</f>
        <v>AS60</v>
      </c>
      <c r="L18" s="4" t="str">
        <f>VLOOKUP(C18,DASH!C:L,6,FALSE)</f>
        <v>MER</v>
      </c>
      <c r="M18" s="4" t="s">
        <v>21</v>
      </c>
      <c r="N18" s="6" t="str">
        <f>VLOOKUP(C18,DASH!C:M,11,FALSE)</f>
        <v>PP</v>
      </c>
      <c r="O18" s="6" t="str">
        <f>VLOOKUP(C18,DASH!C:F,4,FALSE)</f>
        <v/>
      </c>
      <c r="P18" s="8"/>
    </row>
    <row r="19" ht="15.75" customHeight="1">
      <c r="A19" s="4">
        <v>18.0</v>
      </c>
      <c r="B19" s="5" t="s">
        <v>16</v>
      </c>
      <c r="C19" s="6" t="s">
        <v>79</v>
      </c>
      <c r="D19" s="6" t="s">
        <v>80</v>
      </c>
      <c r="E19" s="6" t="s">
        <v>81</v>
      </c>
      <c r="F19" s="6" t="str">
        <f>VLOOKUP(C19,DASH!C:E,3,FALSE)</f>
        <v>EN VALIDACION COMPRAS</v>
      </c>
      <c r="G19" s="4">
        <v>-31.41601</v>
      </c>
      <c r="H19" s="4">
        <v>-71.194093</v>
      </c>
      <c r="I19" s="4" t="s">
        <v>47</v>
      </c>
      <c r="J19" s="4">
        <v>4.0</v>
      </c>
      <c r="K19" s="4" t="str">
        <f>VLOOKUP(C19,DASH!C:L,5,FALSE)</f>
        <v>CV48</v>
      </c>
      <c r="L19" s="4" t="str">
        <f>VLOOKUP(C19,DASH!C:L,6,FALSE)</f>
        <v>MER</v>
      </c>
      <c r="M19" s="4" t="s">
        <v>21</v>
      </c>
      <c r="N19" s="6" t="str">
        <f>VLOOKUP(C19,DASH!C:M,11,FALSE)</f>
        <v>PP</v>
      </c>
      <c r="O19" s="6" t="str">
        <f>VLOOKUP(C19,DASH!C:F,4,FALSE)</f>
        <v/>
      </c>
      <c r="P19" s="8"/>
    </row>
    <row r="20" ht="15.75" customHeight="1">
      <c r="A20" s="4">
        <v>19.0</v>
      </c>
      <c r="B20" s="5" t="s">
        <v>16</v>
      </c>
      <c r="C20" s="6" t="s">
        <v>82</v>
      </c>
      <c r="D20" s="6" t="s">
        <v>83</v>
      </c>
      <c r="E20" s="6" t="s">
        <v>84</v>
      </c>
      <c r="F20" s="6" t="str">
        <f>VLOOKUP(C20,DASH!C:E,3,FALSE)</f>
        <v>SITIO EN CONSTRUCCION</v>
      </c>
      <c r="G20" s="4">
        <v>-32.61257</v>
      </c>
      <c r="H20" s="4">
        <v>-71.402063</v>
      </c>
      <c r="I20" s="4" t="s">
        <v>85</v>
      </c>
      <c r="J20" s="4">
        <v>5.0</v>
      </c>
      <c r="K20" s="4" t="str">
        <f>VLOOKUP(C20,DASH!C:L,5,FALSE)</f>
        <v>AS48</v>
      </c>
      <c r="L20" s="4" t="str">
        <f>VLOOKUP(C20,DASH!C:L,6,FALSE)</f>
        <v>SYC</v>
      </c>
      <c r="M20" s="4" t="s">
        <v>21</v>
      </c>
      <c r="N20" s="6" t="str">
        <f>VLOOKUP(C20,DASH!C:M,11,FALSE)</f>
        <v>PCM</v>
      </c>
      <c r="O20" s="6" t="str">
        <f>VLOOKUP(C20,DASH!C:F,4,FALSE)</f>
        <v>EXCAVACION</v>
      </c>
      <c r="P20" s="8"/>
    </row>
    <row r="21" ht="15.75" customHeight="1">
      <c r="A21" s="4">
        <v>20.0</v>
      </c>
      <c r="B21" s="5" t="s">
        <v>16</v>
      </c>
      <c r="C21" s="6" t="s">
        <v>86</v>
      </c>
      <c r="D21" s="6" t="s">
        <v>87</v>
      </c>
      <c r="E21" s="6" t="s">
        <v>88</v>
      </c>
      <c r="F21" s="6" t="str">
        <f>VLOOKUP(C21,DASH!C:E,3,FALSE)</f>
        <v>EN VALIDACION COMPRAS</v>
      </c>
      <c r="G21" s="4">
        <v>-34.665831</v>
      </c>
      <c r="H21" s="4">
        <v>-71.162926</v>
      </c>
      <c r="I21" s="4" t="s">
        <v>89</v>
      </c>
      <c r="J21" s="4">
        <v>6.0</v>
      </c>
      <c r="K21" s="4" t="str">
        <f>VLOOKUP(C21,DASH!C:L,5,FALSE)</f>
        <v>CV60</v>
      </c>
      <c r="L21" s="4" t="str">
        <f>VLOOKUP(C21,DASH!C:L,6,FALSE)</f>
        <v>DEITEL</v>
      </c>
      <c r="M21" s="4" t="s">
        <v>21</v>
      </c>
      <c r="N21" s="6" t="str">
        <f>VLOOKUP(C21,DASH!C:M,11,FALSE)</f>
        <v>PCM</v>
      </c>
      <c r="O21" s="6"/>
      <c r="P21" s="8"/>
    </row>
    <row r="22" ht="15.75" customHeight="1">
      <c r="A22" s="4">
        <v>21.0</v>
      </c>
      <c r="B22" s="5" t="s">
        <v>16</v>
      </c>
      <c r="C22" s="6" t="s">
        <v>90</v>
      </c>
      <c r="D22" s="6" t="s">
        <v>91</v>
      </c>
      <c r="E22" s="6" t="s">
        <v>92</v>
      </c>
      <c r="F22" s="6" t="str">
        <f>VLOOKUP(C22,DASH!C:E,3,FALSE)</f>
        <v>EN VALIDACION COMPRAS</v>
      </c>
      <c r="G22" s="4">
        <v>-34.202624</v>
      </c>
      <c r="H22" s="4">
        <v>-70.925739</v>
      </c>
      <c r="I22" s="4" t="s">
        <v>93</v>
      </c>
      <c r="J22" s="4">
        <v>6.0</v>
      </c>
      <c r="K22" s="4" t="str">
        <f>VLOOKUP(C22,DASH!C:L,5,FALSE)</f>
        <v>CV42</v>
      </c>
      <c r="L22" s="4" t="str">
        <f>VLOOKUP(C22,DASH!C:L,6,FALSE)</f>
        <v>SYC</v>
      </c>
      <c r="M22" s="4" t="s">
        <v>21</v>
      </c>
      <c r="N22" s="6" t="str">
        <f>VLOOKUP(C22,DASH!C:M,11,FALSE)</f>
        <v>PCM</v>
      </c>
      <c r="O22" s="6"/>
      <c r="P22" s="8"/>
    </row>
    <row r="23" ht="15.75" customHeight="1">
      <c r="A23" s="4">
        <v>22.0</v>
      </c>
      <c r="B23" s="5" t="s">
        <v>16</v>
      </c>
      <c r="C23" s="6" t="s">
        <v>94</v>
      </c>
      <c r="D23" s="6" t="s">
        <v>95</v>
      </c>
      <c r="E23" s="6" t="s">
        <v>96</v>
      </c>
      <c r="F23" s="6" t="str">
        <f>VLOOKUP(C23,DASH!C:E,3,FALSE)</f>
        <v>EN VALIDACION COMPRAS</v>
      </c>
      <c r="G23" s="4">
        <v>-35.706197</v>
      </c>
      <c r="H23" s="4">
        <v>-71.102852</v>
      </c>
      <c r="I23" s="4" t="s">
        <v>97</v>
      </c>
      <c r="J23" s="4">
        <v>7.0</v>
      </c>
      <c r="K23" s="4" t="str">
        <f>VLOOKUP(C23,DASH!C:L,5,FALSE)</f>
        <v>AS60</v>
      </c>
      <c r="L23" s="4" t="str">
        <f>VLOOKUP(C23,DASH!C:L,6,FALSE)</f>
        <v>JTI</v>
      </c>
      <c r="M23" s="4" t="s">
        <v>21</v>
      </c>
      <c r="N23" s="6" t="str">
        <f>VLOOKUP(C23,DASH!C:M,11,FALSE)</f>
        <v>PP</v>
      </c>
      <c r="O23" s="6" t="str">
        <f>VLOOKUP(C23,DASH!C:F,4,FALSE)</f>
        <v/>
      </c>
      <c r="P23" s="8"/>
    </row>
    <row r="24" ht="15.75" customHeight="1">
      <c r="A24" s="4">
        <v>23.0</v>
      </c>
      <c r="B24" s="5" t="s">
        <v>16</v>
      </c>
      <c r="C24" s="6" t="s">
        <v>98</v>
      </c>
      <c r="D24" s="6" t="s">
        <v>99</v>
      </c>
      <c r="E24" s="6" t="s">
        <v>100</v>
      </c>
      <c r="F24" s="6" t="str">
        <f>VLOOKUP(C24,DASH!C:E,3,FALSE)</f>
        <v>SITIO ASIGNADO</v>
      </c>
      <c r="G24" s="4">
        <v>-36.897536</v>
      </c>
      <c r="H24" s="4">
        <v>-72.806678</v>
      </c>
      <c r="I24" s="4" t="s">
        <v>101</v>
      </c>
      <c r="J24" s="4">
        <v>8.0</v>
      </c>
      <c r="K24" s="4" t="str">
        <f>VLOOKUP(C24,DASH!C:L,5,FALSE)</f>
        <v>AS60</v>
      </c>
      <c r="L24" s="4" t="str">
        <f>VLOOKUP(C24,DASH!C:L,6,FALSE)</f>
        <v>JTI</v>
      </c>
      <c r="M24" s="4" t="s">
        <v>21</v>
      </c>
      <c r="N24" s="6" t="str">
        <f>VLOOKUP(C24,DASH!C:M,11,FALSE)</f>
        <v>PP</v>
      </c>
      <c r="O24" s="6" t="str">
        <f>VLOOKUP(C24,DASH!C:F,4,FALSE)</f>
        <v/>
      </c>
      <c r="P24" s="8"/>
    </row>
    <row r="25" ht="15.75" customHeight="1">
      <c r="A25" s="4">
        <v>24.0</v>
      </c>
      <c r="B25" s="5" t="s">
        <v>16</v>
      </c>
      <c r="C25" s="6" t="s">
        <v>102</v>
      </c>
      <c r="D25" s="6" t="s">
        <v>103</v>
      </c>
      <c r="E25" s="6" t="s">
        <v>104</v>
      </c>
      <c r="F25" s="6" t="str">
        <f>VLOOKUP(C25,DASH!C:E,3,FALSE)</f>
        <v>EN VALIDACION COMPRAS</v>
      </c>
      <c r="G25" s="4">
        <v>-38.474219</v>
      </c>
      <c r="H25" s="4">
        <v>-71.433578</v>
      </c>
      <c r="I25" s="4" t="s">
        <v>105</v>
      </c>
      <c r="J25" s="4">
        <v>9.0</v>
      </c>
      <c r="K25" s="4" t="str">
        <f>VLOOKUP(C25,DASH!C:L,5,FALSE)</f>
        <v>AS48</v>
      </c>
      <c r="L25" s="4" t="str">
        <f>VLOOKUP(C25,DASH!C:L,6,FALSE)</f>
        <v>MER</v>
      </c>
      <c r="M25" s="4" t="s">
        <v>21</v>
      </c>
      <c r="N25" s="6" t="str">
        <f>VLOOKUP(C25,DASH!C:M,11,FALSE)</f>
        <v>PCM</v>
      </c>
      <c r="O25" s="6" t="str">
        <f>VLOOKUP(C25,DASH!C:F,4,FALSE)</f>
        <v>EXCAVACION</v>
      </c>
      <c r="P25" s="8"/>
    </row>
    <row r="26" ht="15.75" customHeight="1">
      <c r="A26" s="4">
        <v>25.0</v>
      </c>
      <c r="B26" s="5" t="s">
        <v>16</v>
      </c>
      <c r="C26" s="6" t="s">
        <v>106</v>
      </c>
      <c r="D26" s="6" t="s">
        <v>107</v>
      </c>
      <c r="E26" s="6" t="s">
        <v>108</v>
      </c>
      <c r="F26" s="6" t="str">
        <f>VLOOKUP(C26,DASH!C:E,3,FALSE)</f>
        <v>SITIO EN CONSTRUCCION</v>
      </c>
      <c r="G26" s="4">
        <v>-37.910245</v>
      </c>
      <c r="H26" s="4">
        <v>-73.112522</v>
      </c>
      <c r="I26" s="4" t="s">
        <v>109</v>
      </c>
      <c r="J26" s="4">
        <v>9.0</v>
      </c>
      <c r="K26" s="4" t="str">
        <f>VLOOKUP(C26,DASH!C:L,5,FALSE)</f>
        <v>CV48</v>
      </c>
      <c r="L26" s="4" t="str">
        <f>VLOOKUP(C26,DASH!C:L,6,FALSE)</f>
        <v>MER</v>
      </c>
      <c r="M26" s="4" t="s">
        <v>21</v>
      </c>
      <c r="N26" s="6" t="str">
        <f>VLOOKUP(C26,DASH!C:M,11,FALSE)</f>
        <v>PCM</v>
      </c>
      <c r="O26" s="6" t="str">
        <f>VLOOKUP(C26,DASH!C:F,4,FALSE)</f>
        <v>EXCAVACION</v>
      </c>
      <c r="P26" s="8"/>
    </row>
    <row r="27" ht="15.75" customHeight="1">
      <c r="A27" s="4">
        <v>26.0</v>
      </c>
      <c r="B27" s="5" t="s">
        <v>16</v>
      </c>
      <c r="C27" s="6" t="s">
        <v>110</v>
      </c>
      <c r="D27" s="6" t="s">
        <v>111</v>
      </c>
      <c r="E27" s="6" t="s">
        <v>112</v>
      </c>
      <c r="F27" s="6" t="str">
        <f>VLOOKUP(C27,DASH!C:E,3,FALSE)</f>
        <v>EN VALIDACION COMPRAS</v>
      </c>
      <c r="G27" s="4">
        <v>-41.424798</v>
      </c>
      <c r="H27" s="4">
        <v>-73.09767</v>
      </c>
      <c r="I27" s="4" t="s">
        <v>113</v>
      </c>
      <c r="J27" s="4">
        <v>10.0</v>
      </c>
      <c r="K27" s="4" t="str">
        <f>VLOOKUP(C27,DASH!C:L,5,FALSE)</f>
        <v>MP R36</v>
      </c>
      <c r="L27" s="4" t="str">
        <f>VLOOKUP(C27,DASH!C:L,6,FALSE)</f>
        <v>INICIATIVA</v>
      </c>
      <c r="M27" s="4" t="s">
        <v>21</v>
      </c>
      <c r="N27" s="6" t="str">
        <f>VLOOKUP(C27,DASH!C:M,11,FALSE)</f>
        <v>PP</v>
      </c>
      <c r="O27" s="6" t="str">
        <f>VLOOKUP(C27,DASH!C:F,4,FALSE)</f>
        <v/>
      </c>
      <c r="P27" s="8"/>
    </row>
    <row r="28" ht="15.75" customHeight="1">
      <c r="A28" s="4">
        <v>27.0</v>
      </c>
      <c r="B28" s="5" t="s">
        <v>16</v>
      </c>
      <c r="C28" s="6" t="s">
        <v>114</v>
      </c>
      <c r="D28" s="6" t="s">
        <v>115</v>
      </c>
      <c r="E28" s="6" t="s">
        <v>116</v>
      </c>
      <c r="F28" s="6" t="str">
        <f>VLOOKUP(C28,DASH!C:E,3,FALSE)</f>
        <v>EN VALIDACION COMPRAS</v>
      </c>
      <c r="G28" s="4">
        <v>-41.281168</v>
      </c>
      <c r="H28" s="4">
        <v>-72.466743</v>
      </c>
      <c r="I28" s="4" t="s">
        <v>117</v>
      </c>
      <c r="J28" s="4">
        <v>10.0</v>
      </c>
      <c r="K28" s="4" t="str">
        <f>VLOOKUP(C28,DASH!C:L,5,FALSE)</f>
        <v>AS60</v>
      </c>
      <c r="L28" s="4" t="str">
        <f>VLOOKUP(C28,DASH!C:L,6,FALSE)</f>
        <v>JTI</v>
      </c>
      <c r="M28" s="4" t="s">
        <v>21</v>
      </c>
      <c r="N28" s="6" t="str">
        <f>VLOOKUP(C28,DASH!C:M,11,FALSE)</f>
        <v>PP</v>
      </c>
      <c r="O28" s="6" t="str">
        <f>VLOOKUP(C28,DASH!C:F,4,FALSE)</f>
        <v/>
      </c>
      <c r="P28" s="8"/>
    </row>
    <row r="29" ht="15.75" customHeight="1">
      <c r="A29" s="4">
        <v>28.0</v>
      </c>
      <c r="B29" s="5" t="s">
        <v>16</v>
      </c>
      <c r="C29" s="6" t="s">
        <v>118</v>
      </c>
      <c r="D29" s="6" t="s">
        <v>119</v>
      </c>
      <c r="E29" s="6" t="s">
        <v>120</v>
      </c>
      <c r="F29" s="6" t="str">
        <f>VLOOKUP(C29,DASH!C:E,3,FALSE)</f>
        <v>EN VALIDACION COMPRAS</v>
      </c>
      <c r="G29" s="4">
        <v>-47.25372</v>
      </c>
      <c r="H29" s="4">
        <v>-72.583756</v>
      </c>
      <c r="I29" s="4" t="s">
        <v>120</v>
      </c>
      <c r="J29" s="11">
        <v>11.0</v>
      </c>
      <c r="K29" s="4" t="str">
        <f>VLOOKUP(C29,DASH!C:L,5,FALSE)</f>
        <v>CV60</v>
      </c>
      <c r="L29" s="4" t="str">
        <f>VLOOKUP(C29,DASH!C:L,6,FALSE)</f>
        <v>DEPROMET</v>
      </c>
      <c r="M29" s="4" t="s">
        <v>21</v>
      </c>
      <c r="N29" s="6" t="str">
        <f>VLOOKUP(C29,DASH!C:M,11,FALSE)</f>
        <v>PCM</v>
      </c>
      <c r="O29" s="6"/>
      <c r="P29" s="8"/>
    </row>
    <row r="30" ht="15.75" customHeight="1">
      <c r="A30" s="4">
        <v>29.0</v>
      </c>
      <c r="B30" s="5" t="s">
        <v>16</v>
      </c>
      <c r="C30" s="6" t="s">
        <v>121</v>
      </c>
      <c r="D30" s="6" t="s">
        <v>122</v>
      </c>
      <c r="E30" s="6" t="s">
        <v>123</v>
      </c>
      <c r="F30" s="6" t="str">
        <f>VLOOKUP(C30,DASH!C:E,3,FALSE)</f>
        <v>EN VALIDACION COMPRAS</v>
      </c>
      <c r="G30" s="4">
        <v>-52.582518</v>
      </c>
      <c r="H30" s="4">
        <v>-70.272724</v>
      </c>
      <c r="I30" s="4" t="s">
        <v>124</v>
      </c>
      <c r="J30" s="11">
        <v>12.0</v>
      </c>
      <c r="K30" s="4" t="str">
        <f>VLOOKUP(C30,DASH!C:L,5,FALSE)</f>
        <v>CV60 (H)</v>
      </c>
      <c r="L30" s="4" t="str">
        <f>VLOOKUP(C30,DASH!C:L,6,FALSE)</f>
        <v>DEPROMET</v>
      </c>
      <c r="M30" s="4" t="s">
        <v>21</v>
      </c>
      <c r="N30" s="6" t="str">
        <f>VLOOKUP(C30,DASH!C:M,11,FALSE)</f>
        <v>PP</v>
      </c>
      <c r="O30" s="6" t="str">
        <f>VLOOKUP(C30,DASH!C:F,4,FALSE)</f>
        <v/>
      </c>
      <c r="P30" s="8"/>
    </row>
    <row r="31" ht="15.75" customHeight="1">
      <c r="A31" s="4">
        <v>30.0</v>
      </c>
      <c r="B31" s="5" t="s">
        <v>16</v>
      </c>
      <c r="C31" s="6" t="s">
        <v>125</v>
      </c>
      <c r="D31" s="6" t="s">
        <v>126</v>
      </c>
      <c r="E31" s="6" t="s">
        <v>127</v>
      </c>
      <c r="F31" s="6" t="str">
        <f>VLOOKUP(C31,DASH!C:E,3,FALSE)</f>
        <v>EN VALIDACION COMPRAS</v>
      </c>
      <c r="G31" s="4">
        <v>-52.601193</v>
      </c>
      <c r="H31" s="4">
        <v>-71.153439</v>
      </c>
      <c r="I31" s="4" t="s">
        <v>128</v>
      </c>
      <c r="J31" s="11">
        <v>12.0</v>
      </c>
      <c r="K31" s="4" t="str">
        <f>VLOOKUP(C31,DASH!C:L,5,FALSE)</f>
        <v>CV60 (H)</v>
      </c>
      <c r="L31" s="4" t="str">
        <f>VLOOKUP(C31,DASH!C:L,6,FALSE)</f>
        <v>DEPROMET</v>
      </c>
      <c r="M31" s="4" t="s">
        <v>21</v>
      </c>
      <c r="N31" s="6" t="str">
        <f>VLOOKUP(C31,DASH!C:M,11,FALSE)</f>
        <v>PP</v>
      </c>
      <c r="O31" s="6" t="str">
        <f>VLOOKUP(C31,DASH!C:F,4,FALSE)</f>
        <v/>
      </c>
      <c r="P31" s="8"/>
    </row>
    <row r="32" ht="15.75" customHeight="1">
      <c r="A32" s="4">
        <v>31.0</v>
      </c>
      <c r="B32" s="5" t="s">
        <v>16</v>
      </c>
      <c r="C32" s="6" t="s">
        <v>129</v>
      </c>
      <c r="D32" s="6" t="s">
        <v>130</v>
      </c>
      <c r="E32" s="6" t="s">
        <v>131</v>
      </c>
      <c r="F32" s="6" t="str">
        <f>VLOOKUP(C32,DASH!C:E,3,FALSE)</f>
        <v>SITIO ASIGNADO</v>
      </c>
      <c r="G32" s="4">
        <v>-33.597355</v>
      </c>
      <c r="H32" s="4">
        <v>-70.910944</v>
      </c>
      <c r="I32" s="4" t="s">
        <v>132</v>
      </c>
      <c r="J32" s="4">
        <v>13.0</v>
      </c>
      <c r="K32" s="4" t="str">
        <f>VLOOKUP(C32,DASH!C:L,5,FALSE)</f>
        <v>CV36</v>
      </c>
      <c r="L32" s="4" t="str">
        <f>VLOOKUP(C32,DASH!C:L,6,FALSE)</f>
        <v>MER</v>
      </c>
      <c r="M32" s="12" t="s">
        <v>133</v>
      </c>
      <c r="N32" s="6" t="str">
        <f>VLOOKUP(C32,DASH!C:M,11,FALSE)</f>
        <v>PCM</v>
      </c>
      <c r="O32" s="6" t="str">
        <f>VLOOKUP(C32,DASH!C:F,4,FALSE)</f>
        <v/>
      </c>
      <c r="P32" s="8"/>
    </row>
    <row r="33" ht="15.75" customHeight="1">
      <c r="A33" s="4">
        <v>32.0</v>
      </c>
      <c r="B33" s="5" t="s">
        <v>16</v>
      </c>
      <c r="C33" s="6" t="s">
        <v>134</v>
      </c>
      <c r="D33" s="6" t="s">
        <v>135</v>
      </c>
      <c r="E33" s="6" t="s">
        <v>136</v>
      </c>
      <c r="F33" s="6" t="str">
        <f>VLOOKUP(C33,DASH!C:E,3,FALSE)</f>
        <v>SITIO EN CONSTRUCCION</v>
      </c>
      <c r="G33" s="4">
        <v>-17.827808</v>
      </c>
      <c r="H33" s="4">
        <v>-69.699652</v>
      </c>
      <c r="I33" s="4" t="s">
        <v>137</v>
      </c>
      <c r="J33" s="11">
        <v>15.0</v>
      </c>
      <c r="K33" s="4" t="str">
        <f>VLOOKUP(C33,DASH!C:L,5,FALSE)</f>
        <v>CV60</v>
      </c>
      <c r="L33" s="4" t="str">
        <f>VLOOKUP(C33,DASH!C:L,6,FALSE)</f>
        <v>DEPROMET</v>
      </c>
      <c r="M33" s="4" t="s">
        <v>21</v>
      </c>
      <c r="N33" s="6" t="str">
        <f>VLOOKUP(C33,DASH!C:M,11,FALSE)</f>
        <v>PP</v>
      </c>
      <c r="O33" s="6" t="str">
        <f>VLOOKUP(C33,DASH!C:F,4,FALSE)</f>
        <v>VISITA</v>
      </c>
      <c r="P33" s="8"/>
    </row>
    <row r="34" ht="15.75" customHeight="1">
      <c r="A34" s="4">
        <v>33.0</v>
      </c>
      <c r="B34" s="5" t="s">
        <v>16</v>
      </c>
      <c r="C34" s="13" t="s">
        <v>138</v>
      </c>
      <c r="D34" s="13" t="s">
        <v>139</v>
      </c>
      <c r="E34" s="13" t="s">
        <v>140</v>
      </c>
      <c r="F34" s="6" t="str">
        <f>VLOOKUP(C34,DASH!C:E,3,FALSE)</f>
        <v>SITIO PENDIENTE</v>
      </c>
      <c r="G34" s="12">
        <v>-29.594858</v>
      </c>
      <c r="H34" s="12">
        <v>-71.240687</v>
      </c>
      <c r="I34" s="12" t="s">
        <v>55</v>
      </c>
      <c r="J34" s="12">
        <v>4.0</v>
      </c>
      <c r="K34" s="4" t="str">
        <f>VLOOKUP(C34,DASH!C:L,5,FALSE)</f>
        <v>CV42</v>
      </c>
      <c r="L34" s="4" t="str">
        <f>VLOOKUP(C34,DASH!C:L,6,FALSE)</f>
        <v>INGENIUS</v>
      </c>
      <c r="M34" s="12" t="s">
        <v>21</v>
      </c>
      <c r="N34" s="6" t="str">
        <f>VLOOKUP(C34,DASH!C:M,11,FALSE)</f>
        <v>PP</v>
      </c>
      <c r="O34" s="6" t="str">
        <f>VLOOKUP(C34,DASH!C:F,4,FALSE)</f>
        <v/>
      </c>
      <c r="P34" s="8"/>
    </row>
    <row r="35" ht="15.75" customHeight="1">
      <c r="A35" s="4">
        <v>34.0</v>
      </c>
      <c r="B35" s="5" t="s">
        <v>16</v>
      </c>
      <c r="C35" s="13" t="s">
        <v>141</v>
      </c>
      <c r="D35" s="13" t="s">
        <v>142</v>
      </c>
      <c r="E35" s="13" t="s">
        <v>143</v>
      </c>
      <c r="F35" s="6" t="str">
        <f>VLOOKUP(C35,DASH!C:E,3,FALSE)</f>
        <v>EN VALIDACION COMPRAS</v>
      </c>
      <c r="G35" s="12">
        <v>-41.691388</v>
      </c>
      <c r="H35" s="12">
        <v>-72.526619</v>
      </c>
      <c r="I35" s="12" t="s">
        <v>144</v>
      </c>
      <c r="J35" s="12">
        <v>10.0</v>
      </c>
      <c r="K35" s="4" t="str">
        <f>VLOOKUP(C35,DASH!C:L,5,FALSE)</f>
        <v>CV72 E</v>
      </c>
      <c r="L35" s="4" t="str">
        <f>VLOOKUP(C35,DASH!C:L,6,FALSE)</f>
        <v>DEPROMET</v>
      </c>
      <c r="M35" s="4"/>
      <c r="N35" s="6" t="str">
        <f>VLOOKUP(C35,DASH!C:M,11,FALSE)</f>
        <v>PP</v>
      </c>
      <c r="O35" s="6" t="str">
        <f>VLOOKUP(C35,DASH!C:F,4,FALSE)</f>
        <v/>
      </c>
      <c r="P35" s="8"/>
    </row>
    <row r="36" ht="15.75" customHeight="1">
      <c r="A36" s="4">
        <v>35.0</v>
      </c>
      <c r="B36" s="5" t="s">
        <v>16</v>
      </c>
      <c r="C36" s="13" t="s">
        <v>145</v>
      </c>
      <c r="D36" s="13" t="s">
        <v>146</v>
      </c>
      <c r="E36" s="13" t="s">
        <v>147</v>
      </c>
      <c r="F36" s="6" t="str">
        <f>VLOOKUP(C36,DASH!C:E,3,FALSE)</f>
        <v>SITIO PENDIENTE</v>
      </c>
      <c r="G36" s="12">
        <v>-35.741805</v>
      </c>
      <c r="H36" s="12">
        <v>-71.208032</v>
      </c>
      <c r="I36" s="12" t="s">
        <v>97</v>
      </c>
      <c r="J36" s="12">
        <v>7.0</v>
      </c>
      <c r="K36" s="4" t="str">
        <f>VLOOKUP(C36,DASH!C:L,5,FALSE)</f>
        <v>AS60</v>
      </c>
      <c r="L36" s="4" t="str">
        <f>VLOOKUP(C36,DASH!C:L,6,FALSE)</f>
        <v>JTI</v>
      </c>
      <c r="M36" s="12" t="s">
        <v>21</v>
      </c>
      <c r="N36" s="6" t="str">
        <f>VLOOKUP(C36,DASH!C:M,11,FALSE)</f>
        <v>PP</v>
      </c>
      <c r="O36" s="6" t="str">
        <f>VLOOKUP(C36,DASH!C:F,4,FALSE)</f>
        <v/>
      </c>
      <c r="P36" s="8"/>
    </row>
    <row r="37" ht="15.75" customHeight="1">
      <c r="A37" s="4">
        <v>36.0</v>
      </c>
      <c r="B37" s="5" t="s">
        <v>16</v>
      </c>
      <c r="C37" s="13" t="s">
        <v>148</v>
      </c>
      <c r="D37" s="14" t="s">
        <v>149</v>
      </c>
      <c r="E37" s="13" t="s">
        <v>150</v>
      </c>
      <c r="F37" s="6" t="str">
        <f>VLOOKUP(C37,DASH!C:E,3,FALSE)</f>
        <v>SITIO PENDIENTE</v>
      </c>
      <c r="G37" s="12">
        <v>-33.472766</v>
      </c>
      <c r="H37" s="12">
        <v>-70.497671</v>
      </c>
      <c r="I37" s="12" t="s">
        <v>151</v>
      </c>
      <c r="J37" s="12">
        <v>13.0</v>
      </c>
      <c r="K37" s="4" t="str">
        <f>VLOOKUP(C37,DASH!C:L,5,FALSE)</f>
        <v>AS24</v>
      </c>
      <c r="L37" s="4" t="str">
        <f>VLOOKUP(C37,DASH!C:L,6,FALSE)</f>
        <v>AJ</v>
      </c>
      <c r="M37" s="12" t="s">
        <v>133</v>
      </c>
      <c r="N37" s="6" t="str">
        <f>VLOOKUP(C37,DASH!C:M,11,FALSE)</f>
        <v>PCM</v>
      </c>
      <c r="O37" s="6" t="str">
        <f>VLOOKUP(C37,DASH!C:F,4,FALSE)</f>
        <v/>
      </c>
      <c r="P37" s="8"/>
    </row>
    <row r="38" ht="15.75" customHeight="1">
      <c r="A38" s="4">
        <v>37.0</v>
      </c>
      <c r="B38" s="5" t="s">
        <v>16</v>
      </c>
      <c r="C38" s="13" t="s">
        <v>152</v>
      </c>
      <c r="D38" s="13" t="s">
        <v>153</v>
      </c>
      <c r="E38" s="13" t="s">
        <v>154</v>
      </c>
      <c r="F38" s="6" t="str">
        <f>VLOOKUP(C38,DASH!C:E,3,FALSE)</f>
        <v>SITIO ASIGNADO</v>
      </c>
      <c r="G38" s="12">
        <v>-32.519561</v>
      </c>
      <c r="H38" s="12">
        <v>-71.458772</v>
      </c>
      <c r="I38" s="12" t="s">
        <v>85</v>
      </c>
      <c r="J38" s="12">
        <v>5.0</v>
      </c>
      <c r="K38" s="4" t="str">
        <f>VLOOKUP(C38,DASH!C:L,5,FALSE)</f>
        <v>CV42</v>
      </c>
      <c r="L38" s="4" t="str">
        <f>VLOOKUP(C38,DASH!C:L,6,FALSE)</f>
        <v>INGENIUS</v>
      </c>
      <c r="M38" s="12" t="s">
        <v>21</v>
      </c>
      <c r="N38" s="6" t="str">
        <f>VLOOKUP(C38,DASH!C:M,11,FALSE)</f>
        <v>PP</v>
      </c>
      <c r="O38" s="6" t="str">
        <f>VLOOKUP(C38,DASH!C:F,4,FALSE)</f>
        <v/>
      </c>
      <c r="P38" s="8"/>
    </row>
    <row r="39" ht="15.75" customHeight="1">
      <c r="A39" s="4">
        <v>38.0</v>
      </c>
      <c r="B39" s="5" t="s">
        <v>16</v>
      </c>
      <c r="C39" s="15" t="s">
        <v>155</v>
      </c>
      <c r="D39" s="15" t="s">
        <v>156</v>
      </c>
      <c r="E39" s="15" t="s">
        <v>157</v>
      </c>
      <c r="F39" s="6" t="str">
        <f>VLOOKUP(C39,DASH!C:E,3,FALSE)</f>
        <v>EN VALIDACION COMPRAS</v>
      </c>
      <c r="G39" s="12">
        <v>-45.633189</v>
      </c>
      <c r="H39" s="12">
        <v>-72.096139</v>
      </c>
      <c r="I39" s="12" t="s">
        <v>158</v>
      </c>
      <c r="J39" s="11">
        <v>11.0</v>
      </c>
      <c r="K39" s="4" t="str">
        <f>VLOOKUP(C39,DASH!C:L,5,FALSE)</f>
        <v>CV42 (H)</v>
      </c>
      <c r="L39" s="4" t="str">
        <f>VLOOKUP(C39,DASH!C:L,6,FALSE)</f>
        <v>DEPROMET</v>
      </c>
      <c r="M39" s="12" t="s">
        <v>159</v>
      </c>
      <c r="N39" s="6" t="str">
        <f>VLOOKUP(C39,DASH!C:M,11,FALSE)</f>
        <v>PCM</v>
      </c>
      <c r="O39" s="8"/>
      <c r="P39" s="8"/>
    </row>
    <row r="40" ht="15.75" customHeight="1">
      <c r="A40" s="16"/>
      <c r="G40" s="16"/>
      <c r="H40" s="16"/>
      <c r="I40" s="16"/>
      <c r="J40" s="16"/>
      <c r="K40" s="16"/>
      <c r="L40" s="16"/>
      <c r="M40" s="16"/>
    </row>
    <row r="41" ht="15.75" customHeight="1">
      <c r="A41" s="16"/>
      <c r="G41" s="16"/>
      <c r="H41" s="16"/>
      <c r="I41" s="16"/>
      <c r="J41" s="16"/>
      <c r="K41" s="16"/>
      <c r="L41" s="16"/>
      <c r="M41" s="16"/>
    </row>
    <row r="42" ht="15.75" customHeight="1">
      <c r="A42" s="16"/>
      <c r="G42" s="16"/>
      <c r="H42" s="16"/>
      <c r="I42" s="16"/>
      <c r="J42" s="16"/>
      <c r="K42" s="16"/>
      <c r="L42" s="16"/>
      <c r="M42" s="16"/>
    </row>
    <row r="43" ht="15.75" customHeight="1">
      <c r="A43" s="16"/>
      <c r="G43" s="16"/>
      <c r="H43" s="16"/>
      <c r="I43" s="16"/>
      <c r="J43" s="16"/>
      <c r="K43" s="16"/>
      <c r="L43" s="16"/>
      <c r="M43" s="16"/>
    </row>
    <row r="44" ht="15.75" customHeight="1">
      <c r="A44" s="16"/>
      <c r="G44" s="16"/>
      <c r="H44" s="16"/>
      <c r="I44" s="16"/>
      <c r="J44" s="16"/>
      <c r="K44" s="16"/>
      <c r="L44" s="16"/>
      <c r="M44" s="16"/>
    </row>
    <row r="45" ht="15.75" customHeight="1">
      <c r="A45" s="16"/>
      <c r="G45" s="16"/>
      <c r="H45" s="16"/>
      <c r="I45" s="16"/>
      <c r="J45" s="16"/>
      <c r="K45" s="16"/>
      <c r="L45" s="16"/>
      <c r="M45" s="16"/>
    </row>
    <row r="46" ht="15.75" customHeight="1">
      <c r="A46" s="16"/>
      <c r="G46" s="16"/>
      <c r="H46" s="16"/>
      <c r="I46" s="16"/>
      <c r="J46" s="16"/>
      <c r="K46" s="16"/>
      <c r="L46" s="16"/>
      <c r="M46" s="16"/>
    </row>
    <row r="47" ht="15.75" customHeight="1">
      <c r="A47" s="16"/>
      <c r="G47" s="16"/>
      <c r="H47" s="16"/>
      <c r="I47" s="16"/>
      <c r="J47" s="16"/>
      <c r="K47" s="16"/>
      <c r="L47" s="16"/>
      <c r="M47" s="16"/>
    </row>
    <row r="48" ht="15.75" customHeight="1">
      <c r="A48" s="16"/>
      <c r="G48" s="16"/>
      <c r="H48" s="16"/>
      <c r="I48" s="16"/>
      <c r="J48" s="16"/>
      <c r="K48" s="16"/>
      <c r="L48" s="16"/>
      <c r="M48" s="16"/>
    </row>
    <row r="49" ht="15.75" customHeight="1">
      <c r="A49" s="16"/>
      <c r="G49" s="16"/>
      <c r="H49" s="16"/>
      <c r="I49" s="16"/>
      <c r="J49" s="16"/>
      <c r="K49" s="16"/>
      <c r="L49" s="16"/>
      <c r="M49" s="16"/>
    </row>
    <row r="50" ht="15.75" customHeight="1">
      <c r="A50" s="16"/>
      <c r="G50" s="16"/>
      <c r="H50" s="16"/>
      <c r="I50" s="16"/>
      <c r="J50" s="16"/>
      <c r="K50" s="16"/>
      <c r="L50" s="16"/>
      <c r="M50" s="16"/>
    </row>
    <row r="51" ht="15.75" customHeight="1">
      <c r="A51" s="16"/>
      <c r="G51" s="16"/>
      <c r="H51" s="16"/>
      <c r="I51" s="16"/>
      <c r="J51" s="16"/>
      <c r="K51" s="16"/>
      <c r="L51" s="16"/>
      <c r="M51" s="16"/>
    </row>
    <row r="52" ht="15.75" customHeight="1">
      <c r="A52" s="16"/>
      <c r="G52" s="16"/>
      <c r="H52" s="16"/>
      <c r="I52" s="16"/>
      <c r="J52" s="16"/>
      <c r="K52" s="16"/>
      <c r="L52" s="16"/>
      <c r="M52" s="16"/>
    </row>
    <row r="53" ht="15.75" customHeight="1">
      <c r="A53" s="16"/>
      <c r="G53" s="16"/>
      <c r="H53" s="16"/>
      <c r="I53" s="16"/>
      <c r="J53" s="16"/>
      <c r="K53" s="16"/>
      <c r="L53" s="16"/>
      <c r="M53" s="16"/>
    </row>
    <row r="54" ht="15.75" customHeight="1">
      <c r="A54" s="16"/>
      <c r="G54" s="16"/>
      <c r="H54" s="16"/>
      <c r="I54" s="16"/>
      <c r="J54" s="16"/>
      <c r="K54" s="16"/>
      <c r="L54" s="16"/>
      <c r="M54" s="16"/>
    </row>
    <row r="55" ht="15.75" customHeight="1">
      <c r="A55" s="16"/>
      <c r="G55" s="16"/>
      <c r="H55" s="16"/>
      <c r="I55" s="16"/>
      <c r="J55" s="16"/>
      <c r="K55" s="16"/>
      <c r="L55" s="16"/>
      <c r="M55" s="16"/>
    </row>
    <row r="56" ht="15.75" customHeight="1">
      <c r="A56" s="16"/>
      <c r="G56" s="16"/>
      <c r="H56" s="16"/>
      <c r="I56" s="16"/>
      <c r="J56" s="16"/>
      <c r="K56" s="16"/>
      <c r="L56" s="16"/>
      <c r="M56" s="16"/>
    </row>
    <row r="57" ht="15.75" customHeight="1">
      <c r="A57" s="16"/>
      <c r="G57" s="16"/>
      <c r="H57" s="16"/>
      <c r="I57" s="16"/>
      <c r="J57" s="16"/>
      <c r="K57" s="16"/>
      <c r="L57" s="16"/>
      <c r="M57" s="16"/>
    </row>
    <row r="58" ht="15.75" customHeight="1">
      <c r="A58" s="16"/>
      <c r="G58" s="16"/>
      <c r="H58" s="16"/>
      <c r="I58" s="16"/>
      <c r="J58" s="16"/>
      <c r="K58" s="16"/>
      <c r="L58" s="16"/>
      <c r="M58" s="16"/>
    </row>
    <row r="59" ht="15.75" customHeight="1">
      <c r="A59" s="16"/>
      <c r="G59" s="16"/>
      <c r="H59" s="16"/>
      <c r="I59" s="16"/>
      <c r="J59" s="16"/>
      <c r="K59" s="16"/>
      <c r="L59" s="16"/>
      <c r="M59" s="16"/>
    </row>
    <row r="60" ht="15.75" customHeight="1">
      <c r="A60" s="16"/>
      <c r="G60" s="16"/>
      <c r="H60" s="16"/>
      <c r="I60" s="16"/>
      <c r="J60" s="16"/>
      <c r="K60" s="16"/>
      <c r="L60" s="16"/>
      <c r="M60" s="16"/>
    </row>
    <row r="61" ht="15.75" customHeight="1">
      <c r="A61" s="16"/>
      <c r="G61" s="16"/>
      <c r="H61" s="16"/>
      <c r="I61" s="16"/>
      <c r="J61" s="16"/>
      <c r="K61" s="16"/>
      <c r="L61" s="16"/>
      <c r="M61" s="16"/>
    </row>
    <row r="62" ht="15.75" customHeight="1">
      <c r="A62" s="16"/>
      <c r="G62" s="16"/>
      <c r="H62" s="16"/>
      <c r="I62" s="16"/>
      <c r="J62" s="16"/>
      <c r="K62" s="16"/>
      <c r="L62" s="16"/>
      <c r="M62" s="16"/>
    </row>
    <row r="63" ht="15.75" customHeight="1">
      <c r="A63" s="16"/>
      <c r="G63" s="16"/>
      <c r="H63" s="16"/>
      <c r="I63" s="16"/>
      <c r="J63" s="16"/>
      <c r="K63" s="16"/>
      <c r="L63" s="16"/>
      <c r="M63" s="16"/>
    </row>
    <row r="64" ht="15.75" customHeight="1">
      <c r="A64" s="16"/>
      <c r="G64" s="16"/>
      <c r="H64" s="16"/>
      <c r="I64" s="16"/>
      <c r="J64" s="16"/>
      <c r="K64" s="16"/>
      <c r="L64" s="16"/>
      <c r="M64" s="16"/>
    </row>
    <row r="65" ht="15.75" customHeight="1">
      <c r="A65" s="16"/>
      <c r="G65" s="16"/>
      <c r="H65" s="16"/>
      <c r="I65" s="16"/>
      <c r="J65" s="16"/>
      <c r="K65" s="16"/>
      <c r="L65" s="16"/>
      <c r="M65" s="16"/>
    </row>
    <row r="66" ht="15.75" customHeight="1">
      <c r="A66" s="16"/>
      <c r="G66" s="16"/>
      <c r="H66" s="16"/>
      <c r="I66" s="16"/>
      <c r="J66" s="16"/>
      <c r="K66" s="16"/>
      <c r="L66" s="16"/>
      <c r="M66" s="16"/>
    </row>
    <row r="67" ht="15.75" customHeight="1">
      <c r="A67" s="16"/>
      <c r="G67" s="16"/>
      <c r="H67" s="16"/>
      <c r="I67" s="16"/>
      <c r="J67" s="16"/>
      <c r="K67" s="16"/>
      <c r="L67" s="16"/>
      <c r="M67" s="16"/>
    </row>
    <row r="68" ht="15.75" customHeight="1">
      <c r="A68" s="16"/>
      <c r="G68" s="16"/>
      <c r="H68" s="16"/>
      <c r="I68" s="16"/>
      <c r="J68" s="16"/>
      <c r="K68" s="16"/>
      <c r="L68" s="16"/>
      <c r="M68" s="16"/>
    </row>
    <row r="69" ht="15.75" customHeight="1">
      <c r="A69" s="16"/>
      <c r="G69" s="16"/>
      <c r="H69" s="16"/>
      <c r="I69" s="16"/>
      <c r="J69" s="16"/>
      <c r="K69" s="16"/>
      <c r="L69" s="16"/>
      <c r="M69" s="16"/>
    </row>
    <row r="70" ht="15.75" customHeight="1">
      <c r="A70" s="16"/>
      <c r="G70" s="16"/>
      <c r="H70" s="16"/>
      <c r="I70" s="16"/>
      <c r="J70" s="16"/>
      <c r="K70" s="16"/>
      <c r="L70" s="16"/>
      <c r="M70" s="16"/>
    </row>
    <row r="71" ht="15.75" customHeight="1">
      <c r="A71" s="16"/>
      <c r="G71" s="16"/>
      <c r="H71" s="16"/>
      <c r="I71" s="16"/>
      <c r="J71" s="16"/>
      <c r="K71" s="16"/>
      <c r="L71" s="16"/>
      <c r="M71" s="16"/>
    </row>
    <row r="72" ht="15.75" customHeight="1">
      <c r="A72" s="16"/>
      <c r="G72" s="16"/>
      <c r="H72" s="16"/>
      <c r="I72" s="16"/>
      <c r="J72" s="16"/>
      <c r="K72" s="16"/>
      <c r="L72" s="16"/>
      <c r="M72" s="16"/>
    </row>
    <row r="73" ht="15.75" customHeight="1">
      <c r="A73" s="16"/>
      <c r="G73" s="16"/>
      <c r="H73" s="16"/>
      <c r="I73" s="16"/>
      <c r="J73" s="16"/>
      <c r="K73" s="16"/>
      <c r="L73" s="16"/>
      <c r="M73" s="16"/>
    </row>
    <row r="74" ht="15.75" customHeight="1">
      <c r="A74" s="16"/>
      <c r="G74" s="16"/>
      <c r="H74" s="16"/>
      <c r="I74" s="16"/>
      <c r="J74" s="16"/>
      <c r="K74" s="16"/>
      <c r="L74" s="16"/>
      <c r="M74" s="16"/>
    </row>
    <row r="75" ht="15.75" customHeight="1">
      <c r="A75" s="16"/>
      <c r="G75" s="16"/>
      <c r="H75" s="16"/>
      <c r="I75" s="16"/>
      <c r="J75" s="16"/>
      <c r="K75" s="16"/>
      <c r="L75" s="16"/>
      <c r="M75" s="16"/>
    </row>
    <row r="76" ht="15.75" customHeight="1">
      <c r="A76" s="16"/>
      <c r="G76" s="16"/>
      <c r="H76" s="16"/>
      <c r="I76" s="16"/>
      <c r="J76" s="16"/>
      <c r="K76" s="16"/>
      <c r="L76" s="16"/>
      <c r="M76" s="16"/>
    </row>
    <row r="77" ht="15.75" customHeight="1">
      <c r="A77" s="16"/>
      <c r="G77" s="16"/>
      <c r="H77" s="16"/>
      <c r="I77" s="16"/>
      <c r="J77" s="16"/>
      <c r="K77" s="16"/>
      <c r="L77" s="16"/>
      <c r="M77" s="16"/>
    </row>
    <row r="78" ht="15.75" customHeight="1">
      <c r="A78" s="16"/>
      <c r="G78" s="16"/>
      <c r="H78" s="16"/>
      <c r="I78" s="16"/>
      <c r="J78" s="16"/>
      <c r="K78" s="16"/>
      <c r="L78" s="16"/>
      <c r="M78" s="16"/>
    </row>
    <row r="79" ht="15.75" customHeight="1">
      <c r="A79" s="16"/>
      <c r="G79" s="16"/>
      <c r="H79" s="16"/>
      <c r="I79" s="16"/>
      <c r="J79" s="16"/>
      <c r="K79" s="16"/>
      <c r="L79" s="16"/>
      <c r="M79" s="16"/>
    </row>
    <row r="80" ht="15.75" customHeight="1">
      <c r="A80" s="16"/>
      <c r="G80" s="16"/>
      <c r="H80" s="16"/>
      <c r="I80" s="16"/>
      <c r="J80" s="16"/>
      <c r="K80" s="16"/>
      <c r="L80" s="16"/>
      <c r="M80" s="16"/>
    </row>
    <row r="81" ht="15.75" customHeight="1">
      <c r="A81" s="16"/>
      <c r="G81" s="16"/>
      <c r="H81" s="16"/>
      <c r="I81" s="16"/>
      <c r="J81" s="16"/>
      <c r="K81" s="16"/>
      <c r="L81" s="16"/>
      <c r="M81" s="16"/>
    </row>
    <row r="82" ht="15.75" customHeight="1">
      <c r="A82" s="16"/>
      <c r="G82" s="16"/>
      <c r="H82" s="16"/>
      <c r="I82" s="16"/>
      <c r="J82" s="16"/>
      <c r="K82" s="16"/>
      <c r="L82" s="16"/>
      <c r="M82" s="16"/>
    </row>
    <row r="83" ht="15.75" customHeight="1">
      <c r="A83" s="16"/>
      <c r="G83" s="16"/>
      <c r="H83" s="16"/>
      <c r="I83" s="16"/>
      <c r="J83" s="16"/>
      <c r="K83" s="16"/>
      <c r="L83" s="16"/>
      <c r="M83" s="16"/>
    </row>
    <row r="84" ht="15.75" customHeight="1">
      <c r="A84" s="16"/>
      <c r="G84" s="16"/>
      <c r="H84" s="16"/>
      <c r="I84" s="16"/>
      <c r="J84" s="16"/>
      <c r="K84" s="16"/>
      <c r="L84" s="16"/>
      <c r="M84" s="16"/>
    </row>
    <row r="85" ht="15.75" customHeight="1">
      <c r="A85" s="16"/>
      <c r="G85" s="16"/>
      <c r="H85" s="16"/>
      <c r="I85" s="16"/>
      <c r="J85" s="16"/>
      <c r="K85" s="16"/>
      <c r="L85" s="16"/>
      <c r="M85" s="16"/>
    </row>
    <row r="86" ht="15.75" customHeight="1">
      <c r="A86" s="16"/>
      <c r="G86" s="16"/>
      <c r="H86" s="16"/>
      <c r="I86" s="16"/>
      <c r="J86" s="16"/>
      <c r="K86" s="16"/>
      <c r="L86" s="16"/>
      <c r="M86" s="16"/>
    </row>
    <row r="87" ht="15.75" customHeight="1">
      <c r="A87" s="16"/>
      <c r="G87" s="16"/>
      <c r="H87" s="16"/>
      <c r="I87" s="16"/>
      <c r="J87" s="16"/>
      <c r="K87" s="16"/>
      <c r="L87" s="16"/>
      <c r="M87" s="16"/>
    </row>
    <row r="88" ht="15.75" customHeight="1">
      <c r="A88" s="16"/>
      <c r="G88" s="16"/>
      <c r="H88" s="16"/>
      <c r="I88" s="16"/>
      <c r="J88" s="16"/>
      <c r="K88" s="16"/>
      <c r="L88" s="16"/>
      <c r="M88" s="16"/>
    </row>
    <row r="89" ht="15.75" customHeight="1">
      <c r="A89" s="16"/>
      <c r="G89" s="16"/>
      <c r="H89" s="16"/>
      <c r="I89" s="16"/>
      <c r="J89" s="16"/>
      <c r="K89" s="16"/>
      <c r="L89" s="16"/>
      <c r="M89" s="16"/>
    </row>
    <row r="90" ht="15.75" customHeight="1">
      <c r="A90" s="16"/>
      <c r="G90" s="16"/>
      <c r="H90" s="16"/>
      <c r="I90" s="16"/>
      <c r="J90" s="16"/>
      <c r="K90" s="16"/>
      <c r="L90" s="16"/>
      <c r="M90" s="16"/>
    </row>
    <row r="91" ht="15.75" customHeight="1">
      <c r="A91" s="16"/>
      <c r="G91" s="16"/>
      <c r="H91" s="16"/>
      <c r="I91" s="16"/>
      <c r="J91" s="16"/>
      <c r="K91" s="16"/>
      <c r="L91" s="16"/>
      <c r="M91" s="16"/>
    </row>
    <row r="92" ht="15.75" customHeight="1">
      <c r="A92" s="16"/>
      <c r="G92" s="16"/>
      <c r="H92" s="16"/>
      <c r="I92" s="16"/>
      <c r="J92" s="16"/>
      <c r="K92" s="16"/>
      <c r="L92" s="16"/>
      <c r="M92" s="16"/>
    </row>
    <row r="93" ht="15.75" customHeight="1">
      <c r="A93" s="16"/>
      <c r="G93" s="16"/>
      <c r="H93" s="16"/>
      <c r="I93" s="16"/>
      <c r="J93" s="16"/>
      <c r="K93" s="16"/>
      <c r="L93" s="16"/>
      <c r="M93" s="16"/>
    </row>
    <row r="94" ht="15.75" customHeight="1">
      <c r="A94" s="16"/>
      <c r="G94" s="16"/>
      <c r="H94" s="16"/>
      <c r="I94" s="16"/>
      <c r="J94" s="16"/>
      <c r="K94" s="16"/>
      <c r="L94" s="16"/>
      <c r="M94" s="16"/>
    </row>
    <row r="95" ht="15.75" customHeight="1">
      <c r="A95" s="16"/>
      <c r="G95" s="16"/>
      <c r="H95" s="16"/>
      <c r="I95" s="16"/>
      <c r="J95" s="16"/>
      <c r="K95" s="16"/>
      <c r="L95" s="16"/>
      <c r="M95" s="16"/>
    </row>
    <row r="96" ht="15.75" customHeight="1">
      <c r="A96" s="16"/>
      <c r="G96" s="16"/>
      <c r="H96" s="16"/>
      <c r="I96" s="16"/>
      <c r="J96" s="16"/>
      <c r="K96" s="16"/>
      <c r="L96" s="16"/>
      <c r="M96" s="16"/>
    </row>
    <row r="97" ht="15.75" customHeight="1">
      <c r="A97" s="16"/>
      <c r="G97" s="16"/>
      <c r="H97" s="16"/>
      <c r="I97" s="16"/>
      <c r="J97" s="16"/>
      <c r="K97" s="16"/>
      <c r="L97" s="16"/>
      <c r="M97" s="16"/>
    </row>
    <row r="98" ht="15.75" customHeight="1">
      <c r="A98" s="16"/>
      <c r="G98" s="16"/>
      <c r="H98" s="16"/>
      <c r="I98" s="16"/>
      <c r="J98" s="16"/>
      <c r="K98" s="16"/>
      <c r="L98" s="16"/>
      <c r="M98" s="16"/>
    </row>
    <row r="99" ht="15.75" customHeight="1">
      <c r="A99" s="16"/>
      <c r="G99" s="16"/>
      <c r="H99" s="16"/>
      <c r="I99" s="16"/>
      <c r="J99" s="16"/>
      <c r="K99" s="16"/>
      <c r="L99" s="16"/>
      <c r="M99" s="16"/>
    </row>
    <row r="100" ht="15.75" customHeight="1">
      <c r="A100" s="16"/>
      <c r="G100" s="16"/>
      <c r="H100" s="16"/>
      <c r="I100" s="16"/>
      <c r="J100" s="16"/>
      <c r="K100" s="16"/>
      <c r="L100" s="16"/>
      <c r="M100" s="16"/>
    </row>
    <row r="101" ht="15.75" customHeight="1">
      <c r="A101" s="16"/>
      <c r="G101" s="16"/>
      <c r="H101" s="16"/>
      <c r="I101" s="16"/>
      <c r="J101" s="16"/>
      <c r="K101" s="16"/>
      <c r="L101" s="16"/>
      <c r="M101" s="16"/>
    </row>
    <row r="102" ht="15.75" customHeight="1">
      <c r="A102" s="16"/>
      <c r="G102" s="16"/>
      <c r="H102" s="16"/>
      <c r="I102" s="16"/>
      <c r="J102" s="16"/>
      <c r="K102" s="16"/>
      <c r="L102" s="16"/>
      <c r="M102" s="16"/>
    </row>
    <row r="103" ht="15.75" customHeight="1">
      <c r="A103" s="16"/>
      <c r="G103" s="16"/>
      <c r="H103" s="16"/>
      <c r="I103" s="16"/>
      <c r="J103" s="16"/>
      <c r="K103" s="16"/>
      <c r="L103" s="16"/>
      <c r="M103" s="16"/>
    </row>
    <row r="104" ht="15.75" customHeight="1">
      <c r="A104" s="16"/>
      <c r="G104" s="16"/>
      <c r="H104" s="16"/>
      <c r="I104" s="16"/>
      <c r="J104" s="16"/>
      <c r="K104" s="16"/>
      <c r="L104" s="16"/>
      <c r="M104" s="16"/>
    </row>
    <row r="105" ht="15.75" customHeight="1">
      <c r="A105" s="16"/>
      <c r="G105" s="16"/>
      <c r="H105" s="16"/>
      <c r="I105" s="16"/>
      <c r="J105" s="16"/>
      <c r="K105" s="16"/>
      <c r="L105" s="16"/>
      <c r="M105" s="16"/>
    </row>
    <row r="106" ht="15.75" customHeight="1">
      <c r="A106" s="16"/>
      <c r="G106" s="16"/>
      <c r="H106" s="16"/>
      <c r="I106" s="16"/>
      <c r="J106" s="16"/>
      <c r="K106" s="16"/>
      <c r="L106" s="16"/>
      <c r="M106" s="16"/>
    </row>
    <row r="107" ht="15.75" customHeight="1">
      <c r="A107" s="16"/>
      <c r="G107" s="16"/>
      <c r="H107" s="16"/>
      <c r="I107" s="16"/>
      <c r="J107" s="16"/>
      <c r="K107" s="16"/>
      <c r="L107" s="16"/>
      <c r="M107" s="16"/>
    </row>
    <row r="108" ht="15.75" customHeight="1">
      <c r="A108" s="16"/>
      <c r="G108" s="16"/>
      <c r="H108" s="16"/>
      <c r="I108" s="16"/>
      <c r="J108" s="16"/>
      <c r="K108" s="16"/>
      <c r="L108" s="16"/>
      <c r="M108" s="16"/>
    </row>
    <row r="109" ht="15.75" customHeight="1">
      <c r="A109" s="16"/>
      <c r="G109" s="16"/>
      <c r="H109" s="16"/>
      <c r="I109" s="16"/>
      <c r="J109" s="16"/>
      <c r="K109" s="16"/>
      <c r="L109" s="16"/>
      <c r="M109" s="16"/>
    </row>
    <row r="110" ht="15.75" customHeight="1">
      <c r="A110" s="16"/>
      <c r="G110" s="16"/>
      <c r="H110" s="16"/>
      <c r="I110" s="16"/>
      <c r="J110" s="16"/>
      <c r="K110" s="16"/>
      <c r="L110" s="16"/>
      <c r="M110" s="16"/>
    </row>
    <row r="111" ht="15.75" customHeight="1">
      <c r="A111" s="16"/>
      <c r="G111" s="16"/>
      <c r="H111" s="16"/>
      <c r="I111" s="16"/>
      <c r="J111" s="16"/>
      <c r="K111" s="16"/>
      <c r="L111" s="16"/>
      <c r="M111" s="16"/>
    </row>
    <row r="112" ht="15.75" customHeight="1">
      <c r="A112" s="16"/>
      <c r="G112" s="16"/>
      <c r="H112" s="16"/>
      <c r="I112" s="16"/>
      <c r="J112" s="16"/>
      <c r="K112" s="16"/>
      <c r="L112" s="16"/>
      <c r="M112" s="16"/>
    </row>
    <row r="113" ht="15.75" customHeight="1">
      <c r="A113" s="16"/>
      <c r="G113" s="16"/>
      <c r="H113" s="16"/>
      <c r="I113" s="16"/>
      <c r="J113" s="16"/>
      <c r="K113" s="16"/>
      <c r="L113" s="16"/>
      <c r="M113" s="16"/>
    </row>
    <row r="114" ht="15.75" customHeight="1">
      <c r="A114" s="16"/>
      <c r="G114" s="16"/>
      <c r="H114" s="16"/>
      <c r="I114" s="16"/>
      <c r="J114" s="16"/>
      <c r="K114" s="16"/>
      <c r="L114" s="16"/>
      <c r="M114" s="16"/>
    </row>
    <row r="115" ht="15.75" customHeight="1">
      <c r="A115" s="16"/>
      <c r="G115" s="16"/>
      <c r="H115" s="16"/>
      <c r="I115" s="16"/>
      <c r="J115" s="16"/>
      <c r="K115" s="16"/>
      <c r="L115" s="16"/>
      <c r="M115" s="16"/>
    </row>
    <row r="116" ht="15.75" customHeight="1">
      <c r="A116" s="16"/>
      <c r="G116" s="16"/>
      <c r="H116" s="16"/>
      <c r="I116" s="16"/>
      <c r="J116" s="16"/>
      <c r="K116" s="16"/>
      <c r="L116" s="16"/>
      <c r="M116" s="16"/>
    </row>
    <row r="117" ht="15.75" customHeight="1">
      <c r="A117" s="16"/>
      <c r="G117" s="16"/>
      <c r="H117" s="16"/>
      <c r="I117" s="16"/>
      <c r="J117" s="16"/>
      <c r="K117" s="16"/>
      <c r="L117" s="16"/>
      <c r="M117" s="16"/>
    </row>
    <row r="118" ht="15.75" customHeight="1">
      <c r="A118" s="16"/>
      <c r="G118" s="16"/>
      <c r="H118" s="16"/>
      <c r="I118" s="16"/>
      <c r="J118" s="16"/>
      <c r="K118" s="16"/>
      <c r="L118" s="16"/>
      <c r="M118" s="16"/>
    </row>
    <row r="119" ht="15.75" customHeight="1">
      <c r="A119" s="16"/>
      <c r="G119" s="16"/>
      <c r="H119" s="16"/>
      <c r="I119" s="16"/>
      <c r="J119" s="16"/>
      <c r="K119" s="16"/>
      <c r="L119" s="16"/>
      <c r="M119" s="16"/>
    </row>
    <row r="120" ht="15.75" customHeight="1">
      <c r="A120" s="16"/>
      <c r="G120" s="16"/>
      <c r="H120" s="16"/>
      <c r="I120" s="16"/>
      <c r="J120" s="16"/>
      <c r="K120" s="16"/>
      <c r="L120" s="16"/>
      <c r="M120" s="16"/>
    </row>
    <row r="121" ht="15.75" customHeight="1">
      <c r="A121" s="16"/>
      <c r="G121" s="16"/>
      <c r="H121" s="16"/>
      <c r="I121" s="16"/>
      <c r="J121" s="16"/>
      <c r="K121" s="16"/>
      <c r="L121" s="16"/>
      <c r="M121" s="16"/>
    </row>
    <row r="122" ht="15.75" customHeight="1">
      <c r="A122" s="16"/>
      <c r="G122" s="16"/>
      <c r="H122" s="16"/>
      <c r="I122" s="16"/>
      <c r="J122" s="16"/>
      <c r="K122" s="16"/>
      <c r="L122" s="16"/>
      <c r="M122" s="16"/>
    </row>
    <row r="123" ht="15.75" customHeight="1">
      <c r="A123" s="16"/>
      <c r="G123" s="16"/>
      <c r="H123" s="16"/>
      <c r="I123" s="16"/>
      <c r="J123" s="16"/>
      <c r="K123" s="16"/>
      <c r="L123" s="16"/>
      <c r="M123" s="16"/>
    </row>
    <row r="124" ht="15.75" customHeight="1">
      <c r="A124" s="16"/>
      <c r="G124" s="16"/>
      <c r="H124" s="16"/>
      <c r="I124" s="16"/>
      <c r="J124" s="16"/>
      <c r="K124" s="16"/>
      <c r="L124" s="16"/>
      <c r="M124" s="16"/>
    </row>
    <row r="125" ht="15.75" customHeight="1">
      <c r="A125" s="16"/>
      <c r="G125" s="16"/>
      <c r="H125" s="16"/>
      <c r="I125" s="16"/>
      <c r="J125" s="16"/>
      <c r="K125" s="16"/>
      <c r="L125" s="16"/>
      <c r="M125" s="16"/>
    </row>
    <row r="126" ht="15.75" customHeight="1">
      <c r="A126" s="16"/>
      <c r="G126" s="16"/>
      <c r="H126" s="16"/>
      <c r="I126" s="16"/>
      <c r="J126" s="16"/>
      <c r="K126" s="16"/>
      <c r="L126" s="16"/>
      <c r="M126" s="16"/>
    </row>
    <row r="127" ht="15.75" customHeight="1">
      <c r="A127" s="16"/>
      <c r="G127" s="16"/>
      <c r="H127" s="16"/>
      <c r="I127" s="16"/>
      <c r="J127" s="16"/>
      <c r="K127" s="16"/>
      <c r="L127" s="16"/>
      <c r="M127" s="16"/>
    </row>
    <row r="128" ht="15.75" customHeight="1">
      <c r="A128" s="16"/>
      <c r="G128" s="16"/>
      <c r="H128" s="16"/>
      <c r="I128" s="16"/>
      <c r="J128" s="16"/>
      <c r="K128" s="16"/>
      <c r="L128" s="16"/>
      <c r="M128" s="16"/>
    </row>
    <row r="129" ht="15.75" customHeight="1">
      <c r="A129" s="16"/>
      <c r="G129" s="16"/>
      <c r="H129" s="16"/>
      <c r="I129" s="16"/>
      <c r="J129" s="16"/>
      <c r="K129" s="16"/>
      <c r="L129" s="16"/>
      <c r="M129" s="16"/>
    </row>
    <row r="130" ht="15.75" customHeight="1">
      <c r="A130" s="16"/>
      <c r="G130" s="16"/>
      <c r="H130" s="16"/>
      <c r="I130" s="16"/>
      <c r="J130" s="16"/>
      <c r="K130" s="16"/>
      <c r="L130" s="16"/>
      <c r="M130" s="16"/>
    </row>
    <row r="131" ht="15.75" customHeight="1">
      <c r="A131" s="16"/>
      <c r="G131" s="16"/>
      <c r="H131" s="16"/>
      <c r="I131" s="16"/>
      <c r="J131" s="16"/>
      <c r="K131" s="16"/>
      <c r="L131" s="16"/>
      <c r="M131" s="16"/>
    </row>
    <row r="132" ht="15.75" customHeight="1">
      <c r="A132" s="16"/>
      <c r="G132" s="16"/>
      <c r="H132" s="16"/>
      <c r="I132" s="16"/>
      <c r="J132" s="16"/>
      <c r="K132" s="16"/>
      <c r="L132" s="16"/>
      <c r="M132" s="16"/>
    </row>
    <row r="133" ht="15.75" customHeight="1">
      <c r="A133" s="16"/>
      <c r="G133" s="16"/>
      <c r="H133" s="16"/>
      <c r="I133" s="16"/>
      <c r="J133" s="16"/>
      <c r="K133" s="16"/>
      <c r="L133" s="16"/>
      <c r="M133" s="16"/>
    </row>
    <row r="134" ht="15.75" customHeight="1">
      <c r="A134" s="16"/>
      <c r="G134" s="16"/>
      <c r="H134" s="16"/>
      <c r="I134" s="16"/>
      <c r="J134" s="16"/>
      <c r="K134" s="16"/>
      <c r="L134" s="16"/>
      <c r="M134" s="16"/>
    </row>
    <row r="135" ht="15.75" customHeight="1">
      <c r="A135" s="16"/>
      <c r="G135" s="16"/>
      <c r="H135" s="16"/>
      <c r="I135" s="16"/>
      <c r="J135" s="16"/>
      <c r="K135" s="16"/>
      <c r="L135" s="16"/>
      <c r="M135" s="16"/>
    </row>
    <row r="136" ht="15.75" customHeight="1">
      <c r="A136" s="16"/>
      <c r="G136" s="16"/>
      <c r="H136" s="16"/>
      <c r="I136" s="16"/>
      <c r="J136" s="16"/>
      <c r="K136" s="16"/>
      <c r="L136" s="16"/>
      <c r="M136" s="16"/>
    </row>
    <row r="137" ht="15.75" customHeight="1">
      <c r="A137" s="16"/>
      <c r="G137" s="16"/>
      <c r="H137" s="16"/>
      <c r="I137" s="16"/>
      <c r="J137" s="16"/>
      <c r="K137" s="16"/>
      <c r="L137" s="16"/>
      <c r="M137" s="16"/>
    </row>
    <row r="138" ht="15.75" customHeight="1">
      <c r="A138" s="16"/>
      <c r="G138" s="16"/>
      <c r="H138" s="16"/>
      <c r="I138" s="16"/>
      <c r="J138" s="16"/>
      <c r="K138" s="16"/>
      <c r="L138" s="16"/>
      <c r="M138" s="16"/>
    </row>
    <row r="139" ht="15.75" customHeight="1">
      <c r="A139" s="16"/>
      <c r="G139" s="16"/>
      <c r="H139" s="16"/>
      <c r="I139" s="16"/>
      <c r="J139" s="16"/>
      <c r="K139" s="16"/>
      <c r="L139" s="16"/>
      <c r="M139" s="16"/>
    </row>
    <row r="140" ht="15.75" customHeight="1">
      <c r="A140" s="16"/>
      <c r="G140" s="16"/>
      <c r="H140" s="16"/>
      <c r="I140" s="16"/>
      <c r="J140" s="16"/>
      <c r="K140" s="16"/>
      <c r="L140" s="16"/>
      <c r="M140" s="16"/>
    </row>
    <row r="141" ht="15.75" customHeight="1">
      <c r="A141" s="16"/>
      <c r="G141" s="16"/>
      <c r="H141" s="16"/>
      <c r="I141" s="16"/>
      <c r="J141" s="16"/>
      <c r="K141" s="16"/>
      <c r="L141" s="16"/>
      <c r="M141" s="16"/>
    </row>
    <row r="142" ht="15.75" customHeight="1">
      <c r="A142" s="16"/>
      <c r="G142" s="16"/>
      <c r="H142" s="16"/>
      <c r="I142" s="16"/>
      <c r="J142" s="16"/>
      <c r="K142" s="16"/>
      <c r="L142" s="16"/>
      <c r="M142" s="16"/>
    </row>
    <row r="143" ht="15.75" customHeight="1">
      <c r="A143" s="16"/>
      <c r="G143" s="16"/>
      <c r="H143" s="16"/>
      <c r="I143" s="16"/>
      <c r="J143" s="16"/>
      <c r="K143" s="16"/>
      <c r="L143" s="16"/>
      <c r="M143" s="16"/>
    </row>
    <row r="144" ht="15.75" customHeight="1">
      <c r="A144" s="16"/>
      <c r="G144" s="16"/>
      <c r="H144" s="16"/>
      <c r="I144" s="16"/>
      <c r="J144" s="16"/>
      <c r="K144" s="16"/>
      <c r="L144" s="16"/>
      <c r="M144" s="16"/>
    </row>
    <row r="145" ht="15.75" customHeight="1">
      <c r="A145" s="16"/>
      <c r="G145" s="16"/>
      <c r="H145" s="16"/>
      <c r="I145" s="16"/>
      <c r="J145" s="16"/>
      <c r="K145" s="16"/>
      <c r="L145" s="16"/>
      <c r="M145" s="16"/>
    </row>
    <row r="146" ht="15.75" customHeight="1">
      <c r="A146" s="16"/>
      <c r="G146" s="16"/>
      <c r="H146" s="16"/>
      <c r="I146" s="16"/>
      <c r="J146" s="16"/>
      <c r="K146" s="16"/>
      <c r="L146" s="16"/>
      <c r="M146" s="16"/>
    </row>
    <row r="147" ht="15.75" customHeight="1">
      <c r="A147" s="16"/>
      <c r="G147" s="16"/>
      <c r="H147" s="16"/>
      <c r="I147" s="16"/>
      <c r="J147" s="16"/>
      <c r="K147" s="16"/>
      <c r="L147" s="16"/>
      <c r="M147" s="16"/>
    </row>
    <row r="148" ht="15.75" customHeight="1">
      <c r="A148" s="16"/>
      <c r="G148" s="16"/>
      <c r="H148" s="16"/>
      <c r="I148" s="16"/>
      <c r="J148" s="16"/>
      <c r="K148" s="16"/>
      <c r="L148" s="16"/>
      <c r="M148" s="16"/>
    </row>
    <row r="149" ht="15.75" customHeight="1">
      <c r="A149" s="16"/>
      <c r="G149" s="16"/>
      <c r="H149" s="16"/>
      <c r="I149" s="16"/>
      <c r="J149" s="16"/>
      <c r="K149" s="16"/>
      <c r="L149" s="16"/>
      <c r="M149" s="16"/>
    </row>
    <row r="150" ht="15.75" customHeight="1">
      <c r="A150" s="16"/>
      <c r="G150" s="16"/>
      <c r="H150" s="16"/>
      <c r="I150" s="16"/>
      <c r="J150" s="16"/>
      <c r="K150" s="16"/>
      <c r="L150" s="16"/>
      <c r="M150" s="16"/>
    </row>
    <row r="151" ht="15.75" customHeight="1">
      <c r="A151" s="16"/>
      <c r="G151" s="16"/>
      <c r="H151" s="16"/>
      <c r="I151" s="16"/>
      <c r="J151" s="16"/>
      <c r="K151" s="16"/>
      <c r="L151" s="16"/>
      <c r="M151" s="16"/>
    </row>
    <row r="152" ht="15.75" customHeight="1">
      <c r="A152" s="16"/>
      <c r="G152" s="16"/>
      <c r="H152" s="16"/>
      <c r="I152" s="16"/>
      <c r="J152" s="16"/>
      <c r="K152" s="16"/>
      <c r="L152" s="16"/>
      <c r="M152" s="16"/>
    </row>
    <row r="153" ht="15.75" customHeight="1">
      <c r="A153" s="16"/>
      <c r="G153" s="16"/>
      <c r="H153" s="16"/>
      <c r="I153" s="16"/>
      <c r="J153" s="16"/>
      <c r="K153" s="16"/>
      <c r="L153" s="16"/>
      <c r="M153" s="16"/>
    </row>
    <row r="154" ht="15.75" customHeight="1">
      <c r="A154" s="16"/>
      <c r="G154" s="16"/>
      <c r="H154" s="16"/>
      <c r="I154" s="16"/>
      <c r="J154" s="16"/>
      <c r="K154" s="16"/>
      <c r="L154" s="16"/>
      <c r="M154" s="16"/>
    </row>
    <row r="155" ht="15.75" customHeight="1">
      <c r="A155" s="16"/>
      <c r="G155" s="16"/>
      <c r="H155" s="16"/>
      <c r="I155" s="16"/>
      <c r="J155" s="16"/>
      <c r="K155" s="16"/>
      <c r="L155" s="16"/>
      <c r="M155" s="16"/>
    </row>
    <row r="156" ht="15.75" customHeight="1">
      <c r="A156" s="16"/>
      <c r="G156" s="16"/>
      <c r="H156" s="16"/>
      <c r="I156" s="16"/>
      <c r="J156" s="16"/>
      <c r="K156" s="16"/>
      <c r="L156" s="16"/>
      <c r="M156" s="16"/>
    </row>
    <row r="157" ht="15.75" customHeight="1">
      <c r="A157" s="16"/>
      <c r="G157" s="16"/>
      <c r="H157" s="16"/>
      <c r="I157" s="16"/>
      <c r="J157" s="16"/>
      <c r="K157" s="16"/>
      <c r="L157" s="16"/>
      <c r="M157" s="16"/>
    </row>
    <row r="158" ht="15.75" customHeight="1">
      <c r="A158" s="16"/>
      <c r="G158" s="16"/>
      <c r="H158" s="16"/>
      <c r="I158" s="16"/>
      <c r="J158" s="16"/>
      <c r="K158" s="16"/>
      <c r="L158" s="16"/>
      <c r="M158" s="16"/>
    </row>
    <row r="159" ht="15.75" customHeight="1">
      <c r="A159" s="16"/>
      <c r="G159" s="16"/>
      <c r="H159" s="16"/>
      <c r="I159" s="16"/>
      <c r="J159" s="16"/>
      <c r="K159" s="16"/>
      <c r="L159" s="16"/>
      <c r="M159" s="16"/>
    </row>
    <row r="160" ht="15.75" customHeight="1">
      <c r="A160" s="16"/>
      <c r="G160" s="16"/>
      <c r="H160" s="16"/>
      <c r="I160" s="16"/>
      <c r="J160" s="16"/>
      <c r="K160" s="16"/>
      <c r="L160" s="16"/>
      <c r="M160" s="16"/>
    </row>
    <row r="161" ht="15.75" customHeight="1">
      <c r="A161" s="16"/>
      <c r="G161" s="16"/>
      <c r="H161" s="16"/>
      <c r="I161" s="16"/>
      <c r="J161" s="16"/>
      <c r="K161" s="16"/>
      <c r="L161" s="16"/>
      <c r="M161" s="16"/>
    </row>
    <row r="162" ht="15.75" customHeight="1">
      <c r="A162" s="16"/>
      <c r="G162" s="16"/>
      <c r="H162" s="16"/>
      <c r="I162" s="16"/>
      <c r="J162" s="16"/>
      <c r="K162" s="16"/>
      <c r="L162" s="16"/>
      <c r="M162" s="16"/>
    </row>
    <row r="163" ht="15.75" customHeight="1">
      <c r="A163" s="16"/>
      <c r="G163" s="16"/>
      <c r="H163" s="16"/>
      <c r="I163" s="16"/>
      <c r="J163" s="16"/>
      <c r="K163" s="16"/>
      <c r="L163" s="16"/>
      <c r="M163" s="16"/>
    </row>
    <row r="164" ht="15.75" customHeight="1">
      <c r="A164" s="16"/>
      <c r="G164" s="16"/>
      <c r="H164" s="16"/>
      <c r="I164" s="16"/>
      <c r="J164" s="16"/>
      <c r="K164" s="16"/>
      <c r="L164" s="16"/>
      <c r="M164" s="16"/>
    </row>
    <row r="165" ht="15.75" customHeight="1">
      <c r="A165" s="16"/>
      <c r="G165" s="16"/>
      <c r="H165" s="16"/>
      <c r="I165" s="16"/>
      <c r="J165" s="16"/>
      <c r="K165" s="16"/>
      <c r="L165" s="16"/>
      <c r="M165" s="16"/>
    </row>
    <row r="166" ht="15.75" customHeight="1">
      <c r="A166" s="16"/>
      <c r="G166" s="16"/>
      <c r="H166" s="16"/>
      <c r="I166" s="16"/>
      <c r="J166" s="16"/>
      <c r="K166" s="16"/>
      <c r="L166" s="16"/>
      <c r="M166" s="16"/>
    </row>
    <row r="167" ht="15.75" customHeight="1">
      <c r="A167" s="16"/>
      <c r="G167" s="16"/>
      <c r="H167" s="16"/>
      <c r="I167" s="16"/>
      <c r="J167" s="16"/>
      <c r="K167" s="16"/>
      <c r="L167" s="16"/>
      <c r="M167" s="16"/>
    </row>
    <row r="168" ht="15.75" customHeight="1">
      <c r="A168" s="16"/>
      <c r="G168" s="16"/>
      <c r="H168" s="16"/>
      <c r="I168" s="16"/>
      <c r="J168" s="16"/>
      <c r="K168" s="16"/>
      <c r="L168" s="16"/>
      <c r="M168" s="16"/>
    </row>
    <row r="169" ht="15.75" customHeight="1">
      <c r="A169" s="16"/>
      <c r="G169" s="16"/>
      <c r="H169" s="16"/>
      <c r="I169" s="16"/>
      <c r="J169" s="16"/>
      <c r="K169" s="16"/>
      <c r="L169" s="16"/>
      <c r="M169" s="16"/>
    </row>
    <row r="170" ht="15.75" customHeight="1">
      <c r="A170" s="16"/>
      <c r="G170" s="16"/>
      <c r="H170" s="16"/>
      <c r="I170" s="16"/>
      <c r="J170" s="16"/>
      <c r="K170" s="16"/>
      <c r="L170" s="16"/>
      <c r="M170" s="16"/>
    </row>
    <row r="171" ht="15.75" customHeight="1">
      <c r="A171" s="16"/>
      <c r="G171" s="16"/>
      <c r="H171" s="16"/>
      <c r="I171" s="16"/>
      <c r="J171" s="16"/>
      <c r="K171" s="16"/>
      <c r="L171" s="16"/>
      <c r="M171" s="16"/>
    </row>
    <row r="172" ht="15.75" customHeight="1">
      <c r="A172" s="16"/>
      <c r="G172" s="16"/>
      <c r="H172" s="16"/>
      <c r="I172" s="16"/>
      <c r="J172" s="16"/>
      <c r="K172" s="16"/>
      <c r="L172" s="16"/>
      <c r="M172" s="16"/>
    </row>
    <row r="173" ht="15.75" customHeight="1">
      <c r="A173" s="16"/>
      <c r="G173" s="16"/>
      <c r="H173" s="16"/>
      <c r="I173" s="16"/>
      <c r="J173" s="16"/>
      <c r="K173" s="16"/>
      <c r="L173" s="16"/>
      <c r="M173" s="16"/>
    </row>
    <row r="174" ht="15.75" customHeight="1">
      <c r="A174" s="16"/>
      <c r="G174" s="16"/>
      <c r="H174" s="16"/>
      <c r="I174" s="16"/>
      <c r="J174" s="16"/>
      <c r="K174" s="16"/>
      <c r="L174" s="16"/>
      <c r="M174" s="16"/>
    </row>
    <row r="175" ht="15.75" customHeight="1">
      <c r="A175" s="16"/>
      <c r="G175" s="16"/>
      <c r="H175" s="16"/>
      <c r="I175" s="16"/>
      <c r="J175" s="16"/>
      <c r="K175" s="16"/>
      <c r="L175" s="16"/>
      <c r="M175" s="16"/>
    </row>
    <row r="176" ht="15.75" customHeight="1">
      <c r="A176" s="16"/>
      <c r="G176" s="16"/>
      <c r="H176" s="16"/>
      <c r="I176" s="16"/>
      <c r="J176" s="16"/>
      <c r="K176" s="16"/>
      <c r="L176" s="16"/>
      <c r="M176" s="16"/>
    </row>
    <row r="177" ht="15.75" customHeight="1">
      <c r="A177" s="16"/>
      <c r="G177" s="16"/>
      <c r="H177" s="16"/>
      <c r="I177" s="16"/>
      <c r="J177" s="16"/>
      <c r="K177" s="16"/>
      <c r="L177" s="16"/>
      <c r="M177" s="16"/>
    </row>
    <row r="178" ht="15.75" customHeight="1">
      <c r="A178" s="16"/>
      <c r="G178" s="16"/>
      <c r="H178" s="16"/>
      <c r="I178" s="16"/>
      <c r="J178" s="16"/>
      <c r="K178" s="16"/>
      <c r="L178" s="16"/>
      <c r="M178" s="16"/>
    </row>
    <row r="179" ht="15.75" customHeight="1">
      <c r="A179" s="16"/>
      <c r="G179" s="16"/>
      <c r="H179" s="16"/>
      <c r="I179" s="16"/>
      <c r="J179" s="16"/>
      <c r="K179" s="16"/>
      <c r="L179" s="16"/>
      <c r="M179" s="16"/>
    </row>
    <row r="180" ht="15.75" customHeight="1">
      <c r="A180" s="16"/>
      <c r="G180" s="16"/>
      <c r="H180" s="16"/>
      <c r="I180" s="16"/>
      <c r="J180" s="16"/>
      <c r="K180" s="16"/>
      <c r="L180" s="16"/>
      <c r="M180" s="16"/>
    </row>
    <row r="181" ht="15.75" customHeight="1">
      <c r="A181" s="16"/>
      <c r="G181" s="16"/>
      <c r="H181" s="16"/>
      <c r="I181" s="16"/>
      <c r="J181" s="16"/>
      <c r="K181" s="16"/>
      <c r="L181" s="16"/>
      <c r="M181" s="16"/>
    </row>
    <row r="182" ht="15.75" customHeight="1">
      <c r="A182" s="16"/>
      <c r="G182" s="16"/>
      <c r="H182" s="16"/>
      <c r="I182" s="16"/>
      <c r="J182" s="16"/>
      <c r="K182" s="16"/>
      <c r="L182" s="16"/>
      <c r="M182" s="16"/>
    </row>
    <row r="183" ht="15.75" customHeight="1">
      <c r="A183" s="16"/>
      <c r="G183" s="16"/>
      <c r="H183" s="16"/>
      <c r="I183" s="16"/>
      <c r="J183" s="16"/>
      <c r="K183" s="16"/>
      <c r="L183" s="16"/>
      <c r="M183" s="16"/>
    </row>
    <row r="184" ht="15.75" customHeight="1">
      <c r="A184" s="16"/>
      <c r="G184" s="16"/>
      <c r="H184" s="16"/>
      <c r="I184" s="16"/>
      <c r="J184" s="16"/>
      <c r="K184" s="16"/>
      <c r="L184" s="16"/>
      <c r="M184" s="16"/>
    </row>
    <row r="185" ht="15.75" customHeight="1">
      <c r="A185" s="16"/>
      <c r="G185" s="16"/>
      <c r="H185" s="16"/>
      <c r="I185" s="16"/>
      <c r="J185" s="16"/>
      <c r="K185" s="16"/>
      <c r="L185" s="16"/>
      <c r="M185" s="16"/>
    </row>
    <row r="186" ht="15.75" customHeight="1">
      <c r="A186" s="16"/>
      <c r="G186" s="16"/>
      <c r="H186" s="16"/>
      <c r="I186" s="16"/>
      <c r="J186" s="16"/>
      <c r="K186" s="16"/>
      <c r="L186" s="16"/>
      <c r="M186" s="16"/>
    </row>
    <row r="187" ht="15.75" customHeight="1">
      <c r="A187" s="16"/>
      <c r="G187" s="16"/>
      <c r="H187" s="16"/>
      <c r="I187" s="16"/>
      <c r="J187" s="16"/>
      <c r="K187" s="16"/>
      <c r="L187" s="16"/>
      <c r="M187" s="16"/>
    </row>
    <row r="188" ht="15.75" customHeight="1">
      <c r="A188" s="16"/>
      <c r="G188" s="16"/>
      <c r="H188" s="16"/>
      <c r="I188" s="16"/>
      <c r="J188" s="16"/>
      <c r="K188" s="16"/>
      <c r="L188" s="16"/>
      <c r="M188" s="16"/>
    </row>
    <row r="189" ht="15.75" customHeight="1">
      <c r="A189" s="16"/>
      <c r="G189" s="16"/>
      <c r="H189" s="16"/>
      <c r="I189" s="16"/>
      <c r="J189" s="16"/>
      <c r="K189" s="16"/>
      <c r="L189" s="16"/>
      <c r="M189" s="16"/>
    </row>
    <row r="190" ht="15.75" customHeight="1">
      <c r="A190" s="16"/>
      <c r="G190" s="16"/>
      <c r="H190" s="16"/>
      <c r="I190" s="16"/>
      <c r="J190" s="16"/>
      <c r="K190" s="16"/>
      <c r="L190" s="16"/>
      <c r="M190" s="16"/>
    </row>
    <row r="191" ht="15.75" customHeight="1">
      <c r="A191" s="16"/>
      <c r="G191" s="16"/>
      <c r="H191" s="16"/>
      <c r="I191" s="16"/>
      <c r="J191" s="16"/>
      <c r="K191" s="16"/>
      <c r="L191" s="16"/>
      <c r="M191" s="16"/>
    </row>
    <row r="192" ht="15.75" customHeight="1">
      <c r="A192" s="16"/>
      <c r="G192" s="16"/>
      <c r="H192" s="16"/>
      <c r="I192" s="16"/>
      <c r="J192" s="16"/>
      <c r="K192" s="16"/>
      <c r="L192" s="16"/>
      <c r="M192" s="16"/>
    </row>
    <row r="193" ht="15.75" customHeight="1">
      <c r="A193" s="16"/>
      <c r="G193" s="16"/>
      <c r="H193" s="16"/>
      <c r="I193" s="16"/>
      <c r="J193" s="16"/>
      <c r="K193" s="16"/>
      <c r="L193" s="16"/>
      <c r="M193" s="16"/>
    </row>
    <row r="194" ht="15.75" customHeight="1">
      <c r="A194" s="16"/>
      <c r="G194" s="16"/>
      <c r="H194" s="16"/>
      <c r="I194" s="16"/>
      <c r="J194" s="16"/>
      <c r="K194" s="16"/>
      <c r="L194" s="16"/>
      <c r="M194" s="16"/>
    </row>
    <row r="195" ht="15.75" customHeight="1">
      <c r="A195" s="16"/>
      <c r="G195" s="16"/>
      <c r="H195" s="16"/>
      <c r="I195" s="16"/>
      <c r="J195" s="16"/>
      <c r="K195" s="16"/>
      <c r="L195" s="16"/>
      <c r="M195" s="16"/>
    </row>
    <row r="196" ht="15.75" customHeight="1">
      <c r="A196" s="16"/>
      <c r="G196" s="16"/>
      <c r="H196" s="16"/>
      <c r="I196" s="16"/>
      <c r="J196" s="16"/>
      <c r="K196" s="16"/>
      <c r="L196" s="16"/>
      <c r="M196" s="16"/>
    </row>
    <row r="197" ht="15.75" customHeight="1">
      <c r="A197" s="16"/>
      <c r="G197" s="16"/>
      <c r="H197" s="16"/>
      <c r="I197" s="16"/>
      <c r="J197" s="16"/>
      <c r="K197" s="16"/>
      <c r="L197" s="16"/>
      <c r="M197" s="16"/>
    </row>
    <row r="198" ht="15.75" customHeight="1">
      <c r="A198" s="16"/>
      <c r="G198" s="16"/>
      <c r="H198" s="16"/>
      <c r="I198" s="16"/>
      <c r="J198" s="16"/>
      <c r="K198" s="16"/>
      <c r="L198" s="16"/>
      <c r="M198" s="16"/>
    </row>
    <row r="199" ht="15.75" customHeight="1">
      <c r="A199" s="16"/>
      <c r="G199" s="16"/>
      <c r="H199" s="16"/>
      <c r="I199" s="16"/>
      <c r="J199" s="16"/>
      <c r="K199" s="16"/>
      <c r="L199" s="16"/>
      <c r="M199" s="16"/>
    </row>
    <row r="200" ht="15.75" customHeight="1">
      <c r="A200" s="16"/>
      <c r="G200" s="16"/>
      <c r="H200" s="16"/>
      <c r="I200" s="16"/>
      <c r="J200" s="16"/>
      <c r="K200" s="16"/>
      <c r="L200" s="16"/>
      <c r="M200" s="16"/>
    </row>
    <row r="201" ht="15.75" customHeight="1">
      <c r="A201" s="16"/>
      <c r="G201" s="16"/>
      <c r="H201" s="16"/>
      <c r="I201" s="16"/>
      <c r="J201" s="16"/>
      <c r="K201" s="16"/>
      <c r="L201" s="16"/>
      <c r="M201" s="16"/>
    </row>
    <row r="202" ht="15.75" customHeight="1">
      <c r="A202" s="16"/>
      <c r="G202" s="16"/>
      <c r="H202" s="16"/>
      <c r="I202" s="16"/>
      <c r="J202" s="16"/>
      <c r="K202" s="16"/>
      <c r="L202" s="16"/>
      <c r="M202" s="16"/>
    </row>
    <row r="203" ht="15.75" customHeight="1">
      <c r="A203" s="16"/>
      <c r="G203" s="16"/>
      <c r="H203" s="16"/>
      <c r="I203" s="16"/>
      <c r="J203" s="16"/>
      <c r="K203" s="16"/>
      <c r="L203" s="16"/>
      <c r="M203" s="16"/>
    </row>
    <row r="204" ht="15.75" customHeight="1">
      <c r="A204" s="16"/>
      <c r="G204" s="16"/>
      <c r="H204" s="16"/>
      <c r="I204" s="16"/>
      <c r="J204" s="16"/>
      <c r="K204" s="16"/>
      <c r="L204" s="16"/>
      <c r="M204" s="16"/>
    </row>
    <row r="205" ht="15.75" customHeight="1">
      <c r="A205" s="16"/>
      <c r="G205" s="16"/>
      <c r="H205" s="16"/>
      <c r="I205" s="16"/>
      <c r="J205" s="16"/>
      <c r="K205" s="16"/>
      <c r="L205" s="16"/>
      <c r="M205" s="16"/>
    </row>
    <row r="206" ht="15.75" customHeight="1">
      <c r="A206" s="16"/>
      <c r="G206" s="16"/>
      <c r="H206" s="16"/>
      <c r="I206" s="16"/>
      <c r="J206" s="16"/>
      <c r="K206" s="16"/>
      <c r="L206" s="16"/>
      <c r="M206" s="16"/>
    </row>
    <row r="207" ht="15.75" customHeight="1">
      <c r="A207" s="16"/>
      <c r="G207" s="16"/>
      <c r="H207" s="16"/>
      <c r="I207" s="16"/>
      <c r="J207" s="16"/>
      <c r="K207" s="16"/>
      <c r="L207" s="16"/>
      <c r="M207" s="16"/>
    </row>
    <row r="208" ht="15.75" customHeight="1">
      <c r="A208" s="16"/>
      <c r="G208" s="16"/>
      <c r="H208" s="16"/>
      <c r="I208" s="16"/>
      <c r="J208" s="16"/>
      <c r="K208" s="16"/>
      <c r="L208" s="16"/>
      <c r="M208" s="16"/>
    </row>
    <row r="209" ht="15.75" customHeight="1">
      <c r="A209" s="16"/>
      <c r="G209" s="16"/>
      <c r="H209" s="16"/>
      <c r="I209" s="16"/>
      <c r="J209" s="16"/>
      <c r="K209" s="16"/>
      <c r="L209" s="16"/>
      <c r="M209" s="16"/>
    </row>
    <row r="210" ht="15.75" customHeight="1">
      <c r="A210" s="16"/>
      <c r="G210" s="16"/>
      <c r="H210" s="16"/>
      <c r="I210" s="16"/>
      <c r="J210" s="16"/>
      <c r="K210" s="16"/>
      <c r="L210" s="16"/>
      <c r="M210" s="16"/>
    </row>
    <row r="211" ht="15.75" customHeight="1">
      <c r="A211" s="16"/>
      <c r="G211" s="16"/>
      <c r="H211" s="16"/>
      <c r="I211" s="16"/>
      <c r="J211" s="16"/>
      <c r="K211" s="16"/>
      <c r="L211" s="16"/>
      <c r="M211" s="16"/>
    </row>
    <row r="212" ht="15.75" customHeight="1">
      <c r="A212" s="16"/>
      <c r="G212" s="16"/>
      <c r="H212" s="16"/>
      <c r="I212" s="16"/>
      <c r="J212" s="16"/>
      <c r="K212" s="16"/>
      <c r="L212" s="16"/>
      <c r="M212" s="16"/>
    </row>
    <row r="213" ht="15.75" customHeight="1">
      <c r="A213" s="16"/>
      <c r="G213" s="16"/>
      <c r="H213" s="16"/>
      <c r="I213" s="16"/>
      <c r="J213" s="16"/>
      <c r="K213" s="16"/>
      <c r="L213" s="16"/>
      <c r="M213" s="16"/>
    </row>
    <row r="214" ht="15.75" customHeight="1">
      <c r="A214" s="16"/>
      <c r="G214" s="16"/>
      <c r="H214" s="16"/>
      <c r="I214" s="16"/>
      <c r="J214" s="16"/>
      <c r="K214" s="16"/>
      <c r="L214" s="16"/>
      <c r="M214" s="16"/>
    </row>
    <row r="215" ht="15.75" customHeight="1">
      <c r="A215" s="16"/>
      <c r="G215" s="16"/>
      <c r="H215" s="16"/>
      <c r="I215" s="16"/>
      <c r="J215" s="16"/>
      <c r="K215" s="16"/>
      <c r="L215" s="16"/>
      <c r="M215" s="16"/>
    </row>
    <row r="216" ht="15.75" customHeight="1">
      <c r="A216" s="16"/>
      <c r="G216" s="16"/>
      <c r="H216" s="16"/>
      <c r="I216" s="16"/>
      <c r="J216" s="16"/>
      <c r="K216" s="16"/>
      <c r="L216" s="16"/>
      <c r="M216" s="16"/>
    </row>
    <row r="217" ht="15.75" customHeight="1">
      <c r="A217" s="16"/>
      <c r="G217" s="16"/>
      <c r="H217" s="16"/>
      <c r="I217" s="16"/>
      <c r="J217" s="16"/>
      <c r="K217" s="16"/>
      <c r="L217" s="16"/>
      <c r="M217" s="16"/>
    </row>
    <row r="218" ht="15.75" customHeight="1">
      <c r="A218" s="16"/>
      <c r="G218" s="16"/>
      <c r="H218" s="16"/>
      <c r="I218" s="16"/>
      <c r="J218" s="16"/>
      <c r="K218" s="16"/>
      <c r="L218" s="16"/>
      <c r="M218" s="16"/>
    </row>
    <row r="219" ht="15.75" customHeight="1">
      <c r="A219" s="16"/>
      <c r="G219" s="16"/>
      <c r="H219" s="16"/>
      <c r="I219" s="16"/>
      <c r="J219" s="16"/>
      <c r="K219" s="16"/>
      <c r="L219" s="16"/>
      <c r="M219" s="16"/>
    </row>
    <row r="220" ht="15.75" customHeight="1">
      <c r="A220" s="16"/>
      <c r="G220" s="16"/>
      <c r="H220" s="16"/>
      <c r="I220" s="16"/>
      <c r="J220" s="16"/>
      <c r="K220" s="16"/>
      <c r="L220" s="16"/>
      <c r="M220" s="16"/>
    </row>
    <row r="221" ht="15.75" customHeight="1">
      <c r="A221" s="16"/>
      <c r="G221" s="16"/>
      <c r="H221" s="16"/>
      <c r="I221" s="16"/>
      <c r="J221" s="16"/>
      <c r="K221" s="16"/>
      <c r="L221" s="16"/>
      <c r="M221" s="16"/>
    </row>
    <row r="222" ht="15.75" customHeight="1">
      <c r="A222" s="16"/>
      <c r="G222" s="16"/>
      <c r="H222" s="16"/>
      <c r="I222" s="16"/>
      <c r="J222" s="16"/>
      <c r="K222" s="16"/>
      <c r="L222" s="16"/>
      <c r="M222" s="16"/>
    </row>
    <row r="223" ht="15.75" customHeight="1">
      <c r="A223" s="16"/>
      <c r="G223" s="16"/>
      <c r="H223" s="16"/>
      <c r="I223" s="16"/>
      <c r="J223" s="16"/>
      <c r="K223" s="16"/>
      <c r="L223" s="16"/>
      <c r="M223" s="16"/>
    </row>
    <row r="224" ht="15.75" customHeight="1">
      <c r="A224" s="16"/>
      <c r="G224" s="16"/>
      <c r="H224" s="16"/>
      <c r="I224" s="16"/>
      <c r="J224" s="16"/>
      <c r="K224" s="16"/>
      <c r="L224" s="16"/>
      <c r="M224" s="16"/>
    </row>
    <row r="225" ht="15.75" customHeight="1">
      <c r="A225" s="16"/>
      <c r="G225" s="16"/>
      <c r="H225" s="16"/>
      <c r="I225" s="16"/>
      <c r="J225" s="16"/>
      <c r="K225" s="16"/>
      <c r="L225" s="16"/>
      <c r="M225" s="16"/>
    </row>
    <row r="226" ht="15.75" customHeight="1">
      <c r="A226" s="16"/>
      <c r="G226" s="16"/>
      <c r="H226" s="16"/>
      <c r="I226" s="16"/>
      <c r="J226" s="16"/>
      <c r="K226" s="16"/>
      <c r="L226" s="16"/>
      <c r="M226" s="16"/>
    </row>
    <row r="227" ht="15.75" customHeight="1">
      <c r="A227" s="16"/>
      <c r="G227" s="16"/>
      <c r="H227" s="16"/>
      <c r="I227" s="16"/>
      <c r="J227" s="16"/>
      <c r="K227" s="16"/>
      <c r="L227" s="16"/>
      <c r="M227" s="16"/>
    </row>
    <row r="228" ht="15.75" customHeight="1">
      <c r="A228" s="16"/>
      <c r="G228" s="16"/>
      <c r="H228" s="16"/>
      <c r="I228" s="16"/>
      <c r="J228" s="16"/>
      <c r="K228" s="16"/>
      <c r="L228" s="16"/>
      <c r="M228" s="16"/>
    </row>
    <row r="229" ht="15.75" customHeight="1">
      <c r="A229" s="16"/>
      <c r="G229" s="16"/>
      <c r="H229" s="16"/>
      <c r="I229" s="16"/>
      <c r="J229" s="16"/>
      <c r="K229" s="16"/>
      <c r="L229" s="16"/>
      <c r="M229" s="16"/>
    </row>
    <row r="230" ht="15.75" customHeight="1">
      <c r="A230" s="16"/>
      <c r="G230" s="16"/>
      <c r="H230" s="16"/>
      <c r="I230" s="16"/>
      <c r="J230" s="16"/>
      <c r="K230" s="16"/>
      <c r="L230" s="16"/>
      <c r="M230" s="16"/>
    </row>
    <row r="231" ht="15.75" customHeight="1">
      <c r="A231" s="16"/>
      <c r="G231" s="16"/>
      <c r="H231" s="16"/>
      <c r="I231" s="16"/>
      <c r="J231" s="16"/>
      <c r="K231" s="16"/>
      <c r="L231" s="16"/>
      <c r="M231" s="16"/>
    </row>
    <row r="232" ht="15.75" customHeight="1">
      <c r="A232" s="16"/>
      <c r="G232" s="16"/>
      <c r="H232" s="16"/>
      <c r="I232" s="16"/>
      <c r="J232" s="16"/>
      <c r="K232" s="16"/>
      <c r="L232" s="16"/>
      <c r="M232" s="16"/>
    </row>
    <row r="233" ht="15.75" customHeight="1">
      <c r="A233" s="16"/>
      <c r="G233" s="16"/>
      <c r="H233" s="16"/>
      <c r="I233" s="16"/>
      <c r="J233" s="16"/>
      <c r="K233" s="16"/>
      <c r="L233" s="16"/>
      <c r="M233" s="16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ustomSheetViews>
    <customSheetView guid="{58B87FD7-3629-4A3B-9249-27D363A64422}" filter="1" showAutoFilter="1">
      <autoFilter ref="$A$1:$P$39">
        <filterColumn colId="5">
          <filters>
            <filter val="SITIO EN CONSTRUCCION"/>
            <filter val="SITIO ASIGNADO"/>
            <filter val="SITIO PENDIENTE"/>
          </filters>
        </filterColumn>
      </autoFilter>
      <extLst>
        <ext uri="GoogleSheetsCustomDataVersion1">
          <go:sheetsCustomData xmlns:go="http://customooxmlschemas.google.com/" filterViewId="1616182985"/>
        </ext>
      </extLst>
    </customSheetView>
    <customSheetView guid="{FC05773D-73F8-4CE2-8818-4D20C4316640}" filter="1" showAutoFilter="1">
      <autoFilter ref="$A$1:$P$39"/>
      <extLst>
        <ext uri="GoogleSheetsCustomDataVersion1">
          <go:sheetsCustomData xmlns:go="http://customooxmlschemas.google.com/" filterViewId="628499532"/>
        </ext>
      </extLst>
    </customSheetView>
  </customSheetView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4" width="12.63"/>
    <col customWidth="1" min="5" max="5" width="29.25"/>
    <col customWidth="1" min="6" max="6" width="21.0"/>
  </cols>
  <sheetData>
    <row r="1" ht="15.75" customHeight="1">
      <c r="A1" s="17" t="str">
        <f>IFERROR(__xludf.DUMMYFUNCTION("importrange(""https://docs.google.com/spreadsheets/d/169fR3z2khVLDhpUIMzQ895X75Jo8T5z2iSbXbpiGemk/edit#gid=1247820137&amp;fvid=652245456"",""SITIOS NUEVOS NF!A:F"")"),"AB")</f>
        <v>AB</v>
      </c>
      <c r="B1" s="17" t="str">
        <f>IFERROR(__xludf.DUMMYFUNCTION("""COMPUTED_VALUE"""),"AB + ALT")</f>
        <v>AB + ALT</v>
      </c>
      <c r="C1" s="17" t="str">
        <f>IFERROR(__xludf.DUMMYFUNCTION("""COMPUTED_VALUE"""),"Cod. Subtel")</f>
        <v>Cod. Subtel</v>
      </c>
      <c r="D1" s="17" t="str">
        <f>IFERROR(__xludf.DUMMYFUNCTION("""COMPUTED_VALUE"""),"Nombre Sitio")</f>
        <v>Nombre Sitio</v>
      </c>
      <c r="E1" s="17" t="str">
        <f>IFERROR(__xludf.DUMMYFUNCTION("""COMPUTED_VALUE"""),"ESTATUS SITIO")</f>
        <v>ESTATUS SITIO</v>
      </c>
      <c r="F1" s="17" t="str">
        <f>IFERROR(__xludf.DUMMYFUNCTION("""COMPUTED_VALUE"""),"ACTIVIDAD")</f>
        <v>ACTIVIDAD</v>
      </c>
      <c r="G1" s="17" t="str">
        <f>IFERROR(__xludf.DUMMYFUNCTION("importrange(""https://docs.google.com/spreadsheets/d/169fR3z2khVLDhpUIMzQ895X75Jo8T5z2iSbXbpiGemk/edit#gid=1247820137&amp;fvid=652245456"",""SITIOS NUEVOS NF!AA:AF"")"),"TIPO_TORRE")</f>
        <v>TIPO_TORRE</v>
      </c>
      <c r="H1" s="17" t="str">
        <f>IFERROR(__xludf.DUMMYFUNCTION("""COMPUTED_VALUE"""),"MAESTRANZA")</f>
        <v>MAESTRANZA</v>
      </c>
      <c r="I1" s="17" t="str">
        <f>IFERROR(__xludf.DUMMYFUNCTION("""COMPUTED_VALUE"""),"PLANTILLA 
ESTADO")</f>
        <v>PLANTILLA 
ESTADO</v>
      </c>
      <c r="J1" s="18" t="str">
        <f>IFERROR(__xludf.DUMMYFUNCTION("""COMPUTED_VALUE"""),"PLANTILLA 
FORECAST")</f>
        <v>PLANTILLA 
FORECAST</v>
      </c>
      <c r="K1" s="17" t="str">
        <f>IFERROR(__xludf.DUMMYFUNCTION("""COMPUTED_VALUE"""),"ESA_ESTADO")</f>
        <v>ESA_ESTADO</v>
      </c>
      <c r="L1" s="18" t="str">
        <f>IFERROR(__xludf.DUMMYFUNCTION("""COMPUTED_VALUE"""),"ESA_FORECAST")</f>
        <v>ESA_FORECAST</v>
      </c>
      <c r="M1" s="17" t="str">
        <f>IFERROR(__xludf.DUMMYFUNCTION("importrange(""https://docs.google.com/spreadsheets/d/169fR3z2khVLDhpUIMzQ895X75Jo8T5z2iSbXbpiGemk/edit#gid=1247820137&amp;fvid=652245456"",""SITIOS NUEVOS NF!AQ:AQ"")"),"PLAN")</f>
        <v>PLAN</v>
      </c>
      <c r="N1" s="17" t="str">
        <f>IFERROR(__xludf.DUMMYFUNCTION("importrange(""https://docs.google.com/spreadsheets/d/169fR3z2khVLDhpUIMzQ895X75Jo8T5z2iSbXbpiGemk/edit#gid=1247820137&amp;fvid=652245456"",""SITIOS NUEVOS NF!CP:CP"")"),"P")</f>
        <v>P</v>
      </c>
    </row>
    <row r="2" ht="15.75" customHeight="1">
      <c r="A2" s="19" t="str">
        <f>IFERROR(__xludf.DUMMYFUNCTION("""COMPUTED_VALUE"""),"AB_10604")</f>
        <v>AB_10604</v>
      </c>
      <c r="B2" s="19" t="str">
        <f>IFERROR(__xludf.DUMMYFUNCTION("""COMPUTED_VALUE"""),"AB_10604_A")</f>
        <v>AB_10604_A</v>
      </c>
      <c r="C2" s="19" t="str">
        <f>IFERROR(__xludf.DUMMYFUNCTION("""COMPUTED_VALUE"""),"AN10604")</f>
        <v>AN10604</v>
      </c>
      <c r="D2" s="19" t="str">
        <f>IFERROR(__xludf.DUMMYFUNCTION("""COMPUTED_VALUE"""),"RPT_Lican")</f>
        <v>RPT_Lican</v>
      </c>
      <c r="E2" s="19" t="str">
        <f>IFERROR(__xludf.DUMMYFUNCTION("""COMPUTED_VALUE"""),"SITIO CONSTRUIDO")</f>
        <v>SITIO CONSTRUIDO</v>
      </c>
      <c r="F2" s="19"/>
      <c r="G2" s="19" t="str">
        <f>IFERROR(__xludf.DUMMYFUNCTION("""COMPUTED_VALUE"""),"AS48")</f>
        <v>AS48</v>
      </c>
      <c r="H2" s="19" t="str">
        <f>IFERROR(__xludf.DUMMYFUNCTION("""COMPUTED_VALUE"""),"ADM")</f>
        <v>ADM</v>
      </c>
      <c r="I2" s="19" t="str">
        <f>IFERROR(__xludf.DUMMYFUNCTION("""COMPUTED_VALUE"""),"Terminada")</f>
        <v>Terminada</v>
      </c>
      <c r="J2" s="20">
        <f>IFERROR(__xludf.DUMMYFUNCTION("""COMPUTED_VALUE"""),44750.0)</f>
        <v>44750</v>
      </c>
      <c r="K2" s="19" t="str">
        <f>IFERROR(__xludf.DUMMYFUNCTION("""COMPUTED_VALUE"""),"Terminada")</f>
        <v>Terminada</v>
      </c>
      <c r="L2" s="20">
        <f>IFERROR(__xludf.DUMMYFUNCTION("""COMPUTED_VALUE"""),44890.0)</f>
        <v>44890</v>
      </c>
      <c r="M2" s="19" t="str">
        <f>IFERROR(__xludf.DUMMYFUNCTION("""COMPUTED_VALUE"""),"LLOO_3")</f>
        <v>LLOO_3</v>
      </c>
      <c r="N2" s="19" t="str">
        <f>IFERROR(__xludf.DUMMYFUNCTION("""COMPUTED_VALUE"""),"PRIORIDAD 3 Q1 2024 MARZO")</f>
        <v>PRIORIDAD 3 Q1 2024 MARZO</v>
      </c>
    </row>
    <row r="3" ht="15.75" customHeight="1">
      <c r="A3" s="19" t="str">
        <f>IFERROR(__xludf.DUMMYFUNCTION("""COMPUTED_VALUE"""),"AB_9831")</f>
        <v>AB_9831</v>
      </c>
      <c r="B3" s="19" t="str">
        <f>IFERROR(__xludf.DUMMYFUNCTION("""COMPUTED_VALUE"""),"AB_9831_B")</f>
        <v>AB_9831_B</v>
      </c>
      <c r="C3" s="19" t="str">
        <f>IFERROR(__xludf.DUMMYFUNCTION("""COMPUTED_VALUE"""),"AP9831")</f>
        <v>AP9831</v>
      </c>
      <c r="D3" s="19" t="str">
        <f>IFERROR(__xludf.DUMMYFUNCTION("""COMPUTED_VALUE"""),"Acceso Caleta Vitor")</f>
        <v>Acceso Caleta Vitor</v>
      </c>
      <c r="E3" s="19" t="str">
        <f>IFERROR(__xludf.DUMMYFUNCTION("""COMPUTED_VALUE"""),"SITIO RFI")</f>
        <v>SITIO RFI</v>
      </c>
      <c r="F3" s="19" t="str">
        <f>IFERROR(__xludf.DUMMYFUNCTION("""COMPUTED_VALUE"""),"RFI")</f>
        <v>RFI</v>
      </c>
      <c r="G3" s="19" t="str">
        <f>IFERROR(__xludf.DUMMYFUNCTION("""COMPUTED_VALUE"""),"MP24")</f>
        <v>MP24</v>
      </c>
      <c r="H3" s="19" t="str">
        <f>IFERROR(__xludf.DUMMYFUNCTION("""COMPUTED_VALUE"""),"MER")</f>
        <v>MER</v>
      </c>
      <c r="I3" s="19" t="str">
        <f>IFERROR(__xludf.DUMMYFUNCTION("""COMPUTED_VALUE"""),"Entregada")</f>
        <v>Entregada</v>
      </c>
      <c r="J3" s="20">
        <f>IFERROR(__xludf.DUMMYFUNCTION("""COMPUTED_VALUE"""),44697.0)</f>
        <v>44697</v>
      </c>
      <c r="K3" s="19" t="str">
        <f>IFERROR(__xludf.DUMMYFUNCTION("""COMPUTED_VALUE"""),"Entregada")</f>
        <v>Entregada</v>
      </c>
      <c r="L3" s="20">
        <f>IFERROR(__xludf.DUMMYFUNCTION("""COMPUTED_VALUE"""),44798.0)</f>
        <v>44798</v>
      </c>
      <c r="M3" s="19" t="str">
        <f>IFERROR(__xludf.DUMMYFUNCTION("""COMPUTED_VALUE"""),"LLOO")</f>
        <v>LLOO</v>
      </c>
      <c r="N3" s="19" t="str">
        <f>IFERROR(__xludf.DUMMYFUNCTION("""COMPUTED_VALUE"""),"PRIORIDAD 1 Q3 2023 OCTUBRE")</f>
        <v>PRIORIDAD 1 Q3 2023 OCTUBRE</v>
      </c>
    </row>
    <row r="4" ht="15.75" customHeight="1">
      <c r="A4" s="19" t="str">
        <f>IFERROR(__xludf.DUMMYFUNCTION("""COMPUTED_VALUE"""),"AB_9947")</f>
        <v>AB_9947</v>
      </c>
      <c r="B4" s="19" t="str">
        <f>IFERROR(__xludf.DUMMYFUNCTION("""COMPUTED_VALUE"""),"AB_9947_C")</f>
        <v>AB_9947_C</v>
      </c>
      <c r="C4" s="19" t="str">
        <f>IFERROR(__xludf.DUMMYFUNCTION("""COMPUTED_VALUE"""),"AP9947")</f>
        <v>AP9947</v>
      </c>
      <c r="D4" s="19" t="str">
        <f>IFERROR(__xludf.DUMMYFUNCTION("""COMPUTED_VALUE"""),"Estacion Rosario")</f>
        <v>Estacion Rosario</v>
      </c>
      <c r="E4" s="19" t="str">
        <f>IFERROR(__xludf.DUMMYFUNCTION("""COMPUTED_VALUE"""),"SITIO RFI")</f>
        <v>SITIO RFI</v>
      </c>
      <c r="F4" s="19" t="str">
        <f>IFERROR(__xludf.DUMMYFUNCTION("""COMPUTED_VALUE"""),"RFI")</f>
        <v>RFI</v>
      </c>
      <c r="G4" s="19" t="str">
        <f>IFERROR(__xludf.DUMMYFUNCTION("""COMPUTED_VALUE"""),"CV60")</f>
        <v>CV60</v>
      </c>
      <c r="H4" s="19" t="str">
        <f>IFERROR(__xludf.DUMMYFUNCTION("""COMPUTED_VALUE"""),"DEPROMET")</f>
        <v>DEPROMET</v>
      </c>
      <c r="I4" s="19" t="str">
        <f>IFERROR(__xludf.DUMMYFUNCTION("""COMPUTED_VALUE"""),"Entregada")</f>
        <v>Entregada</v>
      </c>
      <c r="J4" s="20">
        <f>IFERROR(__xludf.DUMMYFUNCTION("""COMPUTED_VALUE"""),45001.0)</f>
        <v>45001</v>
      </c>
      <c r="K4" s="19" t="str">
        <f>IFERROR(__xludf.DUMMYFUNCTION("""COMPUTED_VALUE"""),"Entregada")</f>
        <v>Entregada</v>
      </c>
      <c r="L4" s="20">
        <f>IFERROR(__xludf.DUMMYFUNCTION("""COMPUTED_VALUE"""),45001.0)</f>
        <v>45001</v>
      </c>
      <c r="M4" s="19" t="str">
        <f>IFERROR(__xludf.DUMMYFUNCTION("""COMPUTED_VALUE"""),"PP")</f>
        <v>PP</v>
      </c>
      <c r="N4" s="19" t="str">
        <f>IFERROR(__xludf.DUMMYFUNCTION("""COMPUTED_VALUE"""),"PRIORIDAD 1 Q3 2023 OCTUBRE")</f>
        <v>PRIORIDAD 1 Q3 2023 OCTUBRE</v>
      </c>
    </row>
    <row r="5" ht="15.75" customHeight="1">
      <c r="A5" s="19" t="str">
        <f>IFERROR(__xludf.DUMMYFUNCTION("""COMPUTED_VALUE"""),"AB_9948")</f>
        <v>AB_9948</v>
      </c>
      <c r="B5" s="19" t="str">
        <f>IFERROR(__xludf.DUMMYFUNCTION("""COMPUTED_VALUE"""),"AB_9948_B")</f>
        <v>AB_9948_B</v>
      </c>
      <c r="C5" s="19" t="str">
        <f>IFERROR(__xludf.DUMMYFUNCTION("""COMPUTED_VALUE"""),"AP9948")</f>
        <v>AP9948</v>
      </c>
      <c r="D5" s="19" t="str">
        <f>IFERROR(__xludf.DUMMYFUNCTION("""COMPUTED_VALUE"""),"Cuesta Poconchile")</f>
        <v>Cuesta Poconchile</v>
      </c>
      <c r="E5" s="19" t="str">
        <f>IFERROR(__xludf.DUMMYFUNCTION("""COMPUTED_VALUE"""),"SITIO RFI")</f>
        <v>SITIO RFI</v>
      </c>
      <c r="F5" s="19" t="str">
        <f>IFERROR(__xludf.DUMMYFUNCTION("""COMPUTED_VALUE"""),"RFI")</f>
        <v>RFI</v>
      </c>
      <c r="G5" s="19" t="str">
        <f>IFERROR(__xludf.DUMMYFUNCTION("""COMPUTED_VALUE"""),"CV42")</f>
        <v>CV42</v>
      </c>
      <c r="H5" s="19" t="str">
        <f>IFERROR(__xludf.DUMMYFUNCTION("""COMPUTED_VALUE"""),"INCOSERV")</f>
        <v>INCOSERV</v>
      </c>
      <c r="I5" s="19" t="str">
        <f>IFERROR(__xludf.DUMMYFUNCTION("""COMPUTED_VALUE"""),"Entregada")</f>
        <v>Entregada</v>
      </c>
      <c r="J5" s="20">
        <f>IFERROR(__xludf.DUMMYFUNCTION("""COMPUTED_VALUE"""),45034.0)</f>
        <v>45034</v>
      </c>
      <c r="K5" s="19" t="str">
        <f>IFERROR(__xludf.DUMMYFUNCTION("""COMPUTED_VALUE"""),"Entregada")</f>
        <v>Entregada</v>
      </c>
      <c r="L5" s="20">
        <f>IFERROR(__xludf.DUMMYFUNCTION("""COMPUTED_VALUE"""),45066.0)</f>
        <v>45066</v>
      </c>
      <c r="M5" s="19" t="str">
        <f>IFERROR(__xludf.DUMMYFUNCTION("""COMPUTED_VALUE"""),"PP")</f>
        <v>PP</v>
      </c>
      <c r="N5" s="19" t="str">
        <f>IFERROR(__xludf.DUMMYFUNCTION("""COMPUTED_VALUE"""),"PRIORIDAD 1 Q3 2023 OCTUBRE")</f>
        <v>PRIORIDAD 1 Q3 2023 OCTUBRE</v>
      </c>
    </row>
    <row r="6" ht="15.75" customHeight="1">
      <c r="A6" s="19" t="str">
        <f>IFERROR(__xludf.DUMMYFUNCTION("""COMPUTED_VALUE"""),"AB_9949")</f>
        <v>AB_9949</v>
      </c>
      <c r="B6" s="19" t="str">
        <f>IFERROR(__xludf.DUMMYFUNCTION("""COMPUTED_VALUE"""),"AB_9949_A")</f>
        <v>AB_9949_A</v>
      </c>
      <c r="C6" s="19" t="str">
        <f>IFERROR(__xludf.DUMMYFUNCTION("""COMPUTED_VALUE"""),"AP9949")</f>
        <v>AP9949</v>
      </c>
      <c r="D6" s="19" t="str">
        <f>IFERROR(__xludf.DUMMYFUNCTION("""COMPUTED_VALUE"""),"Guanta Estacion")</f>
        <v>Guanta Estacion</v>
      </c>
      <c r="E6" s="19" t="str">
        <f>IFERROR(__xludf.DUMMYFUNCTION("""COMPUTED_VALUE"""),"SITIO RFI")</f>
        <v>SITIO RFI</v>
      </c>
      <c r="F6" s="19" t="str">
        <f>IFERROR(__xludf.DUMMYFUNCTION("""COMPUTED_VALUE"""),"RFI")</f>
        <v>RFI</v>
      </c>
      <c r="G6" s="19" t="str">
        <f>IFERROR(__xludf.DUMMYFUNCTION("""COMPUTED_VALUE"""),"CV36")</f>
        <v>CV36</v>
      </c>
      <c r="H6" s="19" t="str">
        <f>IFERROR(__xludf.DUMMYFUNCTION("""COMPUTED_VALUE"""),"ADM")</f>
        <v>ADM</v>
      </c>
      <c r="I6" s="19" t="str">
        <f>IFERROR(__xludf.DUMMYFUNCTION("""COMPUTED_VALUE"""),"Entregada")</f>
        <v>Entregada</v>
      </c>
      <c r="J6" s="20">
        <f>IFERROR(__xludf.DUMMYFUNCTION("""COMPUTED_VALUE"""),44743.0)</f>
        <v>44743</v>
      </c>
      <c r="K6" s="19" t="str">
        <f>IFERROR(__xludf.DUMMYFUNCTION("""COMPUTED_VALUE"""),"Entregada")</f>
        <v>Entregada</v>
      </c>
      <c r="L6" s="20">
        <f>IFERROR(__xludf.DUMMYFUNCTION("""COMPUTED_VALUE"""),44827.0)</f>
        <v>44827</v>
      </c>
      <c r="M6" s="19" t="str">
        <f>IFERROR(__xludf.DUMMYFUNCTION("""COMPUTED_VALUE"""),"PP")</f>
        <v>PP</v>
      </c>
      <c r="N6" s="19" t="str">
        <f>IFERROR(__xludf.DUMMYFUNCTION("""COMPUTED_VALUE"""),"PRIORIDAD 1 Q3 2023 OCTUBRE")</f>
        <v>PRIORIDAD 1 Q3 2023 OCTUBRE</v>
      </c>
    </row>
    <row r="7" ht="15.75" customHeight="1">
      <c r="A7" s="19" t="str">
        <f>IFERROR(__xludf.DUMMYFUNCTION("""COMPUTED_VALUE"""),"AB_9950")</f>
        <v>AB_9950</v>
      </c>
      <c r="B7" s="19" t="str">
        <f>IFERROR(__xludf.DUMMYFUNCTION("""COMPUTED_VALUE"""),"AB_9950_A")</f>
        <v>AB_9950_A</v>
      </c>
      <c r="C7" s="19" t="str">
        <f>IFERROR(__xludf.DUMMYFUNCTION("""COMPUTED_VALUE"""),"AP9950")</f>
        <v>AP9950</v>
      </c>
      <c r="D7" s="19" t="str">
        <f>IFERROR(__xludf.DUMMYFUNCTION("""COMPUTED_VALUE"""),"Simon Bolivar Ruta 11")</f>
        <v>Simon Bolivar Ruta 11</v>
      </c>
      <c r="E7" s="19" t="str">
        <f>IFERROR(__xludf.DUMMYFUNCTION("""COMPUTED_VALUE"""),"SITIO PENDIENTE")</f>
        <v>SITIO PENDIENTE</v>
      </c>
      <c r="F7" s="19"/>
      <c r="G7" s="19" t="str">
        <f>IFERROR(__xludf.DUMMYFUNCTION("""COMPUTED_VALUE"""),"CV48")</f>
        <v>CV48</v>
      </c>
      <c r="H7" s="19" t="str">
        <f>IFERROR(__xludf.DUMMYFUNCTION("""COMPUTED_VALUE"""),"INCOSERV")</f>
        <v>INCOSERV</v>
      </c>
      <c r="I7" s="19" t="str">
        <f>IFERROR(__xludf.DUMMYFUNCTION("""COMPUTED_VALUE"""),"Asignada")</f>
        <v>Asignada</v>
      </c>
      <c r="J7" s="20">
        <f>IFERROR(__xludf.DUMMYFUNCTION("""COMPUTED_VALUE"""),45179.0)</f>
        <v>45179</v>
      </c>
      <c r="K7" s="19" t="str">
        <f>IFERROR(__xludf.DUMMYFUNCTION("""COMPUTED_VALUE"""),"Asignada")</f>
        <v>Asignada</v>
      </c>
      <c r="L7" s="20">
        <f>IFERROR(__xludf.DUMMYFUNCTION("""COMPUTED_VALUE"""),45205.0)</f>
        <v>45205</v>
      </c>
      <c r="M7" s="19" t="str">
        <f>IFERROR(__xludf.DUMMYFUNCTION("""COMPUTED_VALUE"""),"PP")</f>
        <v>PP</v>
      </c>
      <c r="N7" s="19" t="str">
        <f>IFERROR(__xludf.DUMMYFUNCTION("""COMPUTED_VALUE"""),"PRIORIDAD 2 Q4 2023 DICIEMBRE")</f>
        <v>PRIORIDAD 2 Q4 2023 DICIEMBRE</v>
      </c>
    </row>
    <row r="8" ht="15.75" customHeight="1">
      <c r="A8" s="19" t="str">
        <f>IFERROR(__xludf.DUMMYFUNCTION("""COMPUTED_VALUE"""),"AB_9951")</f>
        <v>AB_9951</v>
      </c>
      <c r="B8" s="19" t="str">
        <f>IFERROR(__xludf.DUMMYFUNCTION("""COMPUTED_VALUE"""),"AB_9951_A")</f>
        <v>AB_9951_A</v>
      </c>
      <c r="C8" s="19" t="str">
        <f>IFERROR(__xludf.DUMMYFUNCTION("""COMPUTED_VALUE"""),"AP9951")</f>
        <v>AP9951</v>
      </c>
      <c r="D8" s="19" t="str">
        <f>IFERROR(__xludf.DUMMYFUNCTION("""COMPUTED_VALUE"""),"Cuesta La Pera")</f>
        <v>Cuesta La Pera</v>
      </c>
      <c r="E8" s="19" t="str">
        <f>IFERROR(__xludf.DUMMYFUNCTION("""COMPUTED_VALUE"""),"SITIO ASIGNADO")</f>
        <v>SITIO ASIGNADO</v>
      </c>
      <c r="F8" s="19"/>
      <c r="G8" s="19" t="str">
        <f>IFERROR(__xludf.DUMMYFUNCTION("""COMPUTED_VALUE"""),"CV36")</f>
        <v>CV36</v>
      </c>
      <c r="H8" s="19" t="str">
        <f>IFERROR(__xludf.DUMMYFUNCTION("""COMPUTED_VALUE"""),"INGENIUS")</f>
        <v>INGENIUS</v>
      </c>
      <c r="I8" s="19" t="str">
        <f>IFERROR(__xludf.DUMMYFUNCTION("""COMPUTED_VALUE"""),"Terminada")</f>
        <v>Terminada</v>
      </c>
      <c r="J8" s="20">
        <f>IFERROR(__xludf.DUMMYFUNCTION("""COMPUTED_VALUE"""),45041.0)</f>
        <v>45041</v>
      </c>
      <c r="K8" s="19" t="str">
        <f>IFERROR(__xludf.DUMMYFUNCTION("""COMPUTED_VALUE"""),"Por pintar ")</f>
        <v>Por pintar </v>
      </c>
      <c r="L8" s="20">
        <f>IFERROR(__xludf.DUMMYFUNCTION("""COMPUTED_VALUE"""),45089.0)</f>
        <v>45089</v>
      </c>
      <c r="M8" s="19" t="str">
        <f>IFERROR(__xludf.DUMMYFUNCTION("""COMPUTED_VALUE"""),"PP")</f>
        <v>PP</v>
      </c>
      <c r="N8" s="19" t="str">
        <f>IFERROR(__xludf.DUMMYFUNCTION("""COMPUTED_VALUE"""),"PRIORIDAD 2 Q4 2023 DICIEMBRE")</f>
        <v>PRIORIDAD 2 Q4 2023 DICIEMBRE</v>
      </c>
    </row>
    <row r="9" ht="15.75" customHeight="1">
      <c r="A9" s="19" t="str">
        <f>IFERROR(__xludf.DUMMYFUNCTION("""COMPUTED_VALUE"""),"AB_9953")</f>
        <v>AB_9953</v>
      </c>
      <c r="B9" s="19" t="str">
        <f>IFERROR(__xludf.DUMMYFUNCTION("""COMPUTED_VALUE"""),"AB_9953_A")</f>
        <v>AB_9953_A</v>
      </c>
      <c r="C9" s="19" t="str">
        <f>IFERROR(__xludf.DUMMYFUNCTION("""COMPUTED_VALUE"""),"AP9953")</f>
        <v>AP9953</v>
      </c>
      <c r="D9" s="19" t="str">
        <f>IFERROR(__xludf.DUMMYFUNCTION("""COMPUTED_VALUE"""),"Planta Quiborax")</f>
        <v>Planta Quiborax</v>
      </c>
      <c r="E9" s="19" t="str">
        <f>IFERROR(__xludf.DUMMYFUNCTION("""COMPUTED_VALUE"""),"SITIO ASIGNADO")</f>
        <v>SITIO ASIGNADO</v>
      </c>
      <c r="F9" s="19"/>
      <c r="G9" s="19" t="str">
        <f>IFERROR(__xludf.DUMMYFUNCTION("""COMPUTED_VALUE"""),"AS24")</f>
        <v>AS24</v>
      </c>
      <c r="H9" s="19" t="str">
        <f>IFERROR(__xludf.DUMMYFUNCTION("""COMPUTED_VALUE"""),"AJ")</f>
        <v>AJ</v>
      </c>
      <c r="I9" s="19" t="str">
        <f>IFERROR(__xludf.DUMMYFUNCTION("""COMPUTED_VALUE"""),"Terminada")</f>
        <v>Terminada</v>
      </c>
      <c r="J9" s="19"/>
      <c r="K9" s="19" t="str">
        <f>IFERROR(__xludf.DUMMYFUNCTION("""COMPUTED_VALUE"""),"Terminada")</f>
        <v>Terminada</v>
      </c>
      <c r="L9" s="19"/>
      <c r="M9" s="19" t="str">
        <f>IFERROR(__xludf.DUMMYFUNCTION("""COMPUTED_VALUE"""),"PP")</f>
        <v>PP</v>
      </c>
      <c r="N9" s="19" t="str">
        <f>IFERROR(__xludf.DUMMYFUNCTION("""COMPUTED_VALUE"""),"PRIORIDAD 2 Q4 2023 DICIEMBRE")</f>
        <v>PRIORIDAD 2 Q4 2023 DICIEMBRE</v>
      </c>
    </row>
    <row r="10" ht="15.75" customHeight="1">
      <c r="A10" s="19" t="str">
        <f>IFERROR(__xludf.DUMMYFUNCTION("""COMPUTED_VALUE"""),"AB_9954")</f>
        <v>AB_9954</v>
      </c>
      <c r="B10" s="19" t="str">
        <f>IFERROR(__xludf.DUMMYFUNCTION("""COMPUTED_VALUE"""),"AB_9954_A")</f>
        <v>AB_9954_A</v>
      </c>
      <c r="C10" s="19" t="str">
        <f>IFERROR(__xludf.DUMMYFUNCTION("""COMPUTED_VALUE"""),"AP9954")</f>
        <v>AP9954</v>
      </c>
      <c r="D10" s="19" t="str">
        <f>IFERROR(__xludf.DUMMYFUNCTION("""COMPUTED_VALUE"""),"Altos de Copaquilla")</f>
        <v>Altos de Copaquilla</v>
      </c>
      <c r="E10" s="19" t="str">
        <f>IFERROR(__xludf.DUMMYFUNCTION("""COMPUTED_VALUE"""),"DETENIDO COMPRA ESTRUCTURA")</f>
        <v>DETENIDO COMPRA ESTRUCTURA</v>
      </c>
      <c r="F10" s="19"/>
      <c r="G10" s="19" t="str">
        <f>IFERROR(__xludf.DUMMYFUNCTION("""COMPUTED_VALUE"""),"AS72")</f>
        <v>AS72</v>
      </c>
      <c r="H10" s="19" t="str">
        <f>IFERROR(__xludf.DUMMYFUNCTION("""COMPUTED_VALUE"""),"COMPRAS")</f>
        <v>COMPRAS</v>
      </c>
      <c r="I10" s="19"/>
      <c r="J10" s="19"/>
      <c r="K10" s="19"/>
      <c r="L10" s="19"/>
      <c r="M10" s="19" t="str">
        <f>IFERROR(__xludf.DUMMYFUNCTION("""COMPUTED_VALUE"""),"PP")</f>
        <v>PP</v>
      </c>
      <c r="N10" s="19" t="str">
        <f>IFERROR(__xludf.DUMMYFUNCTION("""COMPUTED_VALUE"""),"PRIORIDAD 2 Q4 2023 DICIEMBRE")</f>
        <v>PRIORIDAD 2 Q4 2023 DICIEMBRE</v>
      </c>
    </row>
    <row r="11" ht="15.75" customHeight="1">
      <c r="A11" s="19" t="str">
        <f>IFERROR(__xludf.DUMMYFUNCTION("""COMPUTED_VALUE"""),"AB_9955")</f>
        <v>AB_9955</v>
      </c>
      <c r="B11" s="19" t="str">
        <f>IFERROR(__xludf.DUMMYFUNCTION("""COMPUTED_VALUE"""),"AB_9955_A")</f>
        <v>AB_9955_A</v>
      </c>
      <c r="C11" s="19" t="str">
        <f>IFERROR(__xludf.DUMMYFUNCTION("""COMPUTED_VALUE"""),"AP9955")</f>
        <v>AP9955</v>
      </c>
      <c r="D11" s="19" t="str">
        <f>IFERROR(__xludf.DUMMYFUNCTION("""COMPUTED_VALUE"""),"Zapahuira Cerro")</f>
        <v>Zapahuira Cerro</v>
      </c>
      <c r="E11" s="19" t="str">
        <f>IFERROR(__xludf.DUMMYFUNCTION("""COMPUTED_VALUE"""),"SITIO ASIGNADO")</f>
        <v>SITIO ASIGNADO</v>
      </c>
      <c r="F11" s="19" t="str">
        <f>IFERROR(__xludf.DUMMYFUNCTION("""COMPUTED_VALUE"""),"VISITA")</f>
        <v>VISITA</v>
      </c>
      <c r="G11" s="19" t="str">
        <f>IFERROR(__xludf.DUMMYFUNCTION("""COMPUTED_VALUE"""),"CV36")</f>
        <v>CV36</v>
      </c>
      <c r="H11" s="19" t="str">
        <f>IFERROR(__xludf.DUMMYFUNCTION("""COMPUTED_VALUE"""),"INGENIUS")</f>
        <v>INGENIUS</v>
      </c>
      <c r="I11" s="19" t="str">
        <f>IFERROR(__xludf.DUMMYFUNCTION("""COMPUTED_VALUE"""),"Terminada")</f>
        <v>Terminada</v>
      </c>
      <c r="J11" s="20">
        <f>IFERROR(__xludf.DUMMYFUNCTION("""COMPUTED_VALUE"""),45041.0)</f>
        <v>45041</v>
      </c>
      <c r="K11" s="19" t="str">
        <f>IFERROR(__xludf.DUMMYFUNCTION("""COMPUTED_VALUE"""),"Por pintar ")</f>
        <v>Por pintar </v>
      </c>
      <c r="L11" s="20">
        <f>IFERROR(__xludf.DUMMYFUNCTION("""COMPUTED_VALUE"""),45096.0)</f>
        <v>45096</v>
      </c>
      <c r="M11" s="19" t="str">
        <f>IFERROR(__xludf.DUMMYFUNCTION("""COMPUTED_VALUE"""),"PP")</f>
        <v>PP</v>
      </c>
      <c r="N11" s="19" t="str">
        <f>IFERROR(__xludf.DUMMYFUNCTION("""COMPUTED_VALUE"""),"PRIORIDAD 2 Q4 2023 DICIEMBRE")</f>
        <v>PRIORIDAD 2 Q4 2023 DICIEMBRE</v>
      </c>
    </row>
    <row r="12" ht="15.75" customHeight="1">
      <c r="A12" s="19" t="str">
        <f>IFERROR(__xludf.DUMMYFUNCTION("""COMPUTED_VALUE"""),"AB_9956")</f>
        <v>AB_9956</v>
      </c>
      <c r="B12" s="19" t="str">
        <f>IFERROR(__xludf.DUMMYFUNCTION("""COMPUTED_VALUE"""),"AB_9956_A")</f>
        <v>AB_9956_A</v>
      </c>
      <c r="C12" s="19" t="str">
        <f>IFERROR(__xludf.DUMMYFUNCTION("""COMPUTED_VALUE"""),"AP9956")</f>
        <v>AP9956</v>
      </c>
      <c r="D12" s="19" t="str">
        <f>IFERROR(__xludf.DUMMYFUNCTION("""COMPUTED_VALUE"""),"Camion desbarrancado Ruta 11")</f>
        <v>Camion desbarrancado Ruta 11</v>
      </c>
      <c r="E12" s="19" t="str">
        <f>IFERROR(__xludf.DUMMYFUNCTION("""COMPUTED_VALUE"""),"SITIO ASIGNADO")</f>
        <v>SITIO ASIGNADO</v>
      </c>
      <c r="F12" s="19" t="str">
        <f>IFERROR(__xludf.DUMMYFUNCTION("""COMPUTED_VALUE"""),"VISITA")</f>
        <v>VISITA</v>
      </c>
      <c r="G12" s="19" t="str">
        <f>IFERROR(__xludf.DUMMYFUNCTION("""COMPUTED_VALUE"""),"CV36")</f>
        <v>CV36</v>
      </c>
      <c r="H12" s="19" t="str">
        <f>IFERROR(__xludf.DUMMYFUNCTION("""COMPUTED_VALUE"""),"INGENIUS")</f>
        <v>INGENIUS</v>
      </c>
      <c r="I12" s="19" t="str">
        <f>IFERROR(__xludf.DUMMYFUNCTION("""COMPUTED_VALUE"""),"Terminada")</f>
        <v>Terminada</v>
      </c>
      <c r="J12" s="20">
        <f>IFERROR(__xludf.DUMMYFUNCTION("""COMPUTED_VALUE"""),45041.0)</f>
        <v>45041</v>
      </c>
      <c r="K12" s="19" t="str">
        <f>IFERROR(__xludf.DUMMYFUNCTION("""COMPUTED_VALUE"""),"Por pintar ")</f>
        <v>Por pintar </v>
      </c>
      <c r="L12" s="20">
        <f>IFERROR(__xludf.DUMMYFUNCTION("""COMPUTED_VALUE"""),45096.0)</f>
        <v>45096</v>
      </c>
      <c r="M12" s="19" t="str">
        <f>IFERROR(__xludf.DUMMYFUNCTION("""COMPUTED_VALUE"""),"PP")</f>
        <v>PP</v>
      </c>
      <c r="N12" s="19" t="str">
        <f>IFERROR(__xludf.DUMMYFUNCTION("""COMPUTED_VALUE"""),"PRIORIDAD 2 Q4 2023 DICIEMBRE")</f>
        <v>PRIORIDAD 2 Q4 2023 DICIEMBRE</v>
      </c>
    </row>
    <row r="13" ht="15.75" customHeight="1">
      <c r="A13" s="19" t="str">
        <f>IFERROR(__xludf.DUMMYFUNCTION("""COMPUTED_VALUE"""),"AB_9957")</f>
        <v>AB_9957</v>
      </c>
      <c r="B13" s="19" t="str">
        <f>IFERROR(__xludf.DUMMYFUNCTION("""COMPUTED_VALUE"""),"AB_9957_A")</f>
        <v>AB_9957_A</v>
      </c>
      <c r="C13" s="19" t="str">
        <f>IFERROR(__xludf.DUMMYFUNCTION("""COMPUTED_VALUE"""),"AP9957")</f>
        <v>AP9957</v>
      </c>
      <c r="D13" s="19" t="str">
        <f>IFERROR(__xludf.DUMMYFUNCTION("""COMPUTED_VALUE"""),"Simon Bolivar Cerro")</f>
        <v>Simon Bolivar Cerro</v>
      </c>
      <c r="E13" s="19" t="str">
        <f>IFERROR(__xludf.DUMMYFUNCTION("""COMPUTED_VALUE"""),"SITIO ASIGNADO")</f>
        <v>SITIO ASIGNADO</v>
      </c>
      <c r="F13" s="19"/>
      <c r="G13" s="19" t="str">
        <f>IFERROR(__xludf.DUMMYFUNCTION("""COMPUTED_VALUE"""),"CV48")</f>
        <v>CV48</v>
      </c>
      <c r="H13" s="19" t="str">
        <f>IFERROR(__xludf.DUMMYFUNCTION("""COMPUTED_VALUE"""),"INCOSERV")</f>
        <v>INCOSERV</v>
      </c>
      <c r="I13" s="19" t="str">
        <f>IFERROR(__xludf.DUMMYFUNCTION("""COMPUTED_VALUE"""),"Asignada")</f>
        <v>Asignada</v>
      </c>
      <c r="J13" s="20">
        <f>IFERROR(__xludf.DUMMYFUNCTION("""COMPUTED_VALUE"""),45163.0)</f>
        <v>45163</v>
      </c>
      <c r="K13" s="19" t="str">
        <f>IFERROR(__xludf.DUMMYFUNCTION("""COMPUTED_VALUE"""),"Asignada")</f>
        <v>Asignada</v>
      </c>
      <c r="L13" s="20">
        <f>IFERROR(__xludf.DUMMYFUNCTION("""COMPUTED_VALUE"""),45191.0)</f>
        <v>45191</v>
      </c>
      <c r="M13" s="19" t="str">
        <f>IFERROR(__xludf.DUMMYFUNCTION("""COMPUTED_VALUE"""),"PP")</f>
        <v>PP</v>
      </c>
      <c r="N13" s="19" t="str">
        <f>IFERROR(__xludf.DUMMYFUNCTION("""COMPUTED_VALUE"""),"PRIORIDAD 2 Q4 2023 DICIEMBRE")</f>
        <v>PRIORIDAD 2 Q4 2023 DICIEMBRE</v>
      </c>
    </row>
    <row r="14" ht="15.75" customHeight="1">
      <c r="A14" s="19" t="str">
        <f>IFERROR(__xludf.DUMMYFUNCTION("""COMPUTED_VALUE"""),"AB_9958")</f>
        <v>AB_9958</v>
      </c>
      <c r="B14" s="19" t="str">
        <f>IFERROR(__xludf.DUMMYFUNCTION("""COMPUTED_VALUE"""),"AB_9958_A")</f>
        <v>AB_9958_A</v>
      </c>
      <c r="C14" s="19" t="str">
        <f>IFERROR(__xludf.DUMMYFUNCTION("""COMPUTED_VALUE"""),"AP9958")</f>
        <v>AP9958</v>
      </c>
      <c r="D14" s="19" t="str">
        <f>IFERROR(__xludf.DUMMYFUNCTION("""COMPUTED_VALUE"""),"Mirador Ruta 11")</f>
        <v>Mirador Ruta 11</v>
      </c>
      <c r="E14" s="19" t="str">
        <f>IFERROR(__xludf.DUMMYFUNCTION("""COMPUTED_VALUE"""),"SITIO ASIGNADO")</f>
        <v>SITIO ASIGNADO</v>
      </c>
      <c r="F14" s="19" t="str">
        <f>IFERROR(__xludf.DUMMYFUNCTION("""COMPUTED_VALUE"""),"VISITA")</f>
        <v>VISITA</v>
      </c>
      <c r="G14" s="19" t="str">
        <f>IFERROR(__xludf.DUMMYFUNCTION("""COMPUTED_VALUE"""),"CV42")</f>
        <v>CV42</v>
      </c>
      <c r="H14" s="19" t="str">
        <f>IFERROR(__xludf.DUMMYFUNCTION("""COMPUTED_VALUE"""),"INGENIUS")</f>
        <v>INGENIUS</v>
      </c>
      <c r="I14" s="19" t="str">
        <f>IFERROR(__xludf.DUMMYFUNCTION("""COMPUTED_VALUE"""),"Terminada")</f>
        <v>Terminada</v>
      </c>
      <c r="J14" s="20">
        <f>IFERROR(__xludf.DUMMYFUNCTION("""COMPUTED_VALUE"""),45042.0)</f>
        <v>45042</v>
      </c>
      <c r="K14" s="19" t="str">
        <f>IFERROR(__xludf.DUMMYFUNCTION("""COMPUTED_VALUE"""),"En fabricacion")</f>
        <v>En fabricacion</v>
      </c>
      <c r="L14" s="20">
        <f>IFERROR(__xludf.DUMMYFUNCTION("""COMPUTED_VALUE"""),45114.0)</f>
        <v>45114</v>
      </c>
      <c r="M14" s="19" t="str">
        <f>IFERROR(__xludf.DUMMYFUNCTION("""COMPUTED_VALUE"""),"PP")</f>
        <v>PP</v>
      </c>
      <c r="N14" s="19" t="str">
        <f>IFERROR(__xludf.DUMMYFUNCTION("""COMPUTED_VALUE"""),"PRIORIDAD 1 Q3 2023 OCTUBRE")</f>
        <v>PRIORIDAD 1 Q3 2023 OCTUBRE</v>
      </c>
    </row>
    <row r="15" ht="15.75" customHeight="1">
      <c r="A15" s="19" t="str">
        <f>IFERROR(__xludf.DUMMYFUNCTION("""COMPUTED_VALUE"""),"AB_9960")</f>
        <v>AB_9960</v>
      </c>
      <c r="B15" s="19" t="str">
        <f>IFERROR(__xludf.DUMMYFUNCTION("""COMPUTED_VALUE"""),"AB_9960_A")</f>
        <v>AB_9960_A</v>
      </c>
      <c r="C15" s="19" t="str">
        <f>IFERROR(__xludf.DUMMYFUNCTION("""COMPUTED_VALUE"""),"AP9960")</f>
        <v>AP9960</v>
      </c>
      <c r="D15" s="19" t="str">
        <f>IFERROR(__xludf.DUMMYFUNCTION("""COMPUTED_VALUE"""),"Regimiento N 24")</f>
        <v>Regimiento N 24</v>
      </c>
      <c r="E15" s="19" t="str">
        <f>IFERROR(__xludf.DUMMYFUNCTION("""COMPUTED_VALUE"""),"SITIO ASIGNADO")</f>
        <v>SITIO ASIGNADO</v>
      </c>
      <c r="F15" s="19" t="str">
        <f>IFERROR(__xludf.DUMMYFUNCTION("""COMPUTED_VALUE"""),"VISITA")</f>
        <v>VISITA</v>
      </c>
      <c r="G15" s="19" t="str">
        <f>IFERROR(__xludf.DUMMYFUNCTION("""COMPUTED_VALUE"""),"CV48")</f>
        <v>CV48</v>
      </c>
      <c r="H15" s="19" t="str">
        <f>IFERROR(__xludf.DUMMYFUNCTION("""COMPUTED_VALUE"""),"MER")</f>
        <v>MER</v>
      </c>
      <c r="I15" s="19" t="str">
        <f>IFERROR(__xludf.DUMMYFUNCTION("""COMPUTED_VALUE"""),"Terminada")</f>
        <v>Terminada</v>
      </c>
      <c r="J15" s="20">
        <f>IFERROR(__xludf.DUMMYFUNCTION("""COMPUTED_VALUE"""),45051.0)</f>
        <v>45051</v>
      </c>
      <c r="K15" s="19" t="str">
        <f>IFERROR(__xludf.DUMMYFUNCTION("""COMPUTED_VALUE"""),"Por pintar ")</f>
        <v>Por pintar </v>
      </c>
      <c r="L15" s="20">
        <f>IFERROR(__xludf.DUMMYFUNCTION("""COMPUTED_VALUE"""),45054.0)</f>
        <v>45054</v>
      </c>
      <c r="M15" s="19" t="str">
        <f>IFERROR(__xludf.DUMMYFUNCTION("""COMPUTED_VALUE"""),"PP")</f>
        <v>PP</v>
      </c>
      <c r="N15" s="19" t="str">
        <f>IFERROR(__xludf.DUMMYFUNCTION("""COMPUTED_VALUE"""),"PRIORIDAD 1 Q3 2023 OCTUBRE")</f>
        <v>PRIORIDAD 1 Q3 2023 OCTUBRE</v>
      </c>
    </row>
    <row r="16" ht="15.75" customHeight="1">
      <c r="A16" s="19" t="str">
        <f>IFERROR(__xludf.DUMMYFUNCTION("""COMPUTED_VALUE"""),"AB_9961")</f>
        <v>AB_9961</v>
      </c>
      <c r="B16" s="19" t="str">
        <f>IFERROR(__xludf.DUMMYFUNCTION("""COMPUTED_VALUE"""),"AB_9961_C")</f>
        <v>AB_9961_C</v>
      </c>
      <c r="C16" s="19" t="str">
        <f>IFERROR(__xludf.DUMMYFUNCTION("""COMPUTED_VALUE"""),"AP9961")</f>
        <v>AP9961</v>
      </c>
      <c r="D16" s="19" t="str">
        <f>IFERROR(__xludf.DUMMYFUNCTION("""COMPUTED_VALUE"""),"Bofedal Ruta 11")</f>
        <v>Bofedal Ruta 11</v>
      </c>
      <c r="E16" s="19" t="str">
        <f>IFERROR(__xludf.DUMMYFUNCTION("""COMPUTED_VALUE"""),"DETENIDO SAC")</f>
        <v>DETENIDO SAC</v>
      </c>
      <c r="F16" s="19"/>
      <c r="G16" s="19" t="str">
        <f>IFERROR(__xludf.DUMMYFUNCTION("""COMPUTED_VALUE"""),"CV42")</f>
        <v>CV42</v>
      </c>
      <c r="H16" s="19" t="str">
        <f>IFERROR(__xludf.DUMMYFUNCTION("""COMPUTED_VALUE"""),"COMPRAS")</f>
        <v>COMPRAS</v>
      </c>
      <c r="I16" s="19"/>
      <c r="J16" s="19"/>
      <c r="K16" s="19"/>
      <c r="L16" s="19"/>
      <c r="M16" s="19" t="str">
        <f>IFERROR(__xludf.DUMMYFUNCTION("""COMPUTED_VALUE"""),"PP")</f>
        <v>PP</v>
      </c>
      <c r="N16" s="19" t="str">
        <f>IFERROR(__xludf.DUMMYFUNCTION("""COMPUTED_VALUE"""),"PRIORIDAD 3 Q1 2024 MARZO")</f>
        <v>PRIORIDAD 3 Q1 2024 MARZO</v>
      </c>
    </row>
    <row r="17" ht="15.75" customHeight="1">
      <c r="A17" s="19" t="str">
        <f>IFERROR(__xludf.DUMMYFUNCTION("""COMPUTED_VALUE"""),"AB_9962")</f>
        <v>AB_9962</v>
      </c>
      <c r="B17" s="19" t="str">
        <f>IFERROR(__xludf.DUMMYFUNCTION("""COMPUTED_VALUE"""),"AB_9962_A")</f>
        <v>AB_9962_A</v>
      </c>
      <c r="C17" s="19" t="str">
        <f>IFERROR(__xludf.DUMMYFUNCTION("""COMPUTED_VALUE"""),"AP9962")</f>
        <v>AP9962</v>
      </c>
      <c r="D17" s="19" t="str">
        <f>IFERROR(__xludf.DUMMYFUNCTION("""COMPUTED_VALUE"""),"Cruce Ruta 11- A211")</f>
        <v>Cruce Ruta 11- A211</v>
      </c>
      <c r="E17" s="19" t="str">
        <f>IFERROR(__xludf.DUMMYFUNCTION("""COMPUTED_VALUE"""),"DETENIDO SAC")</f>
        <v>DETENIDO SAC</v>
      </c>
      <c r="F17" s="19"/>
      <c r="G17" s="19" t="str">
        <f>IFERROR(__xludf.DUMMYFUNCTION("""COMPUTED_VALUE"""),"AS30")</f>
        <v>AS30</v>
      </c>
      <c r="H17" s="19" t="str">
        <f>IFERROR(__xludf.DUMMYFUNCTION("""COMPUTED_VALUE"""),"")</f>
        <v/>
      </c>
      <c r="I17" s="19" t="str">
        <f>IFERROR(__xludf.DUMMYFUNCTION("""COMPUTED_VALUE"""),"")</f>
        <v/>
      </c>
      <c r="J17" s="20" t="str">
        <f>IFERROR(__xludf.DUMMYFUNCTION("""COMPUTED_VALUE"""),"")</f>
        <v/>
      </c>
      <c r="K17" s="19" t="str">
        <f>IFERROR(__xludf.DUMMYFUNCTION("""COMPUTED_VALUE"""),"")</f>
        <v/>
      </c>
      <c r="L17" s="20" t="str">
        <f>IFERROR(__xludf.DUMMYFUNCTION("""COMPUTED_VALUE"""),"")</f>
        <v/>
      </c>
      <c r="M17" s="19" t="str">
        <f>IFERROR(__xludf.DUMMYFUNCTION("""COMPUTED_VALUE"""),"PP")</f>
        <v>PP</v>
      </c>
      <c r="N17" s="19" t="str">
        <f>IFERROR(__xludf.DUMMYFUNCTION("""COMPUTED_VALUE"""),"PRIORIDAD 3 Q1 2024 MARZO")</f>
        <v>PRIORIDAD 3 Q1 2024 MARZO</v>
      </c>
    </row>
    <row r="18" ht="15.75" customHeight="1">
      <c r="A18" s="19" t="str">
        <f>IFERROR(__xludf.DUMMYFUNCTION("""COMPUTED_VALUE"""),"AB_9963")</f>
        <v>AB_9963</v>
      </c>
      <c r="B18" s="19" t="str">
        <f>IFERROR(__xludf.DUMMYFUNCTION("""COMPUTED_VALUE"""),"AB_9963_C")</f>
        <v>AB_9963_C</v>
      </c>
      <c r="C18" s="19" t="str">
        <f>IFERROR(__xludf.DUMMYFUNCTION("""COMPUTED_VALUE"""),"AP9963")</f>
        <v>AP9963</v>
      </c>
      <c r="D18" s="19" t="str">
        <f>IFERROR(__xludf.DUMMYFUNCTION("""COMPUTED_VALUE"""),"Laramcota")</f>
        <v>Laramcota</v>
      </c>
      <c r="E18" s="19" t="str">
        <f>IFERROR(__xludf.DUMMYFUNCTION("""COMPUTED_VALUE"""),"DETENIDO SAC")</f>
        <v>DETENIDO SAC</v>
      </c>
      <c r="F18" s="19"/>
      <c r="G18" s="19" t="str">
        <f>IFERROR(__xludf.DUMMYFUNCTION("""COMPUTED_VALUE"""),"CV36")</f>
        <v>CV36</v>
      </c>
      <c r="H18" s="19" t="str">
        <f>IFERROR(__xludf.DUMMYFUNCTION("""COMPUTED_VALUE"""),"")</f>
        <v/>
      </c>
      <c r="I18" s="19" t="str">
        <f>IFERROR(__xludf.DUMMYFUNCTION("""COMPUTED_VALUE"""),"")</f>
        <v/>
      </c>
      <c r="J18" s="20" t="str">
        <f>IFERROR(__xludf.DUMMYFUNCTION("""COMPUTED_VALUE"""),"")</f>
        <v/>
      </c>
      <c r="K18" s="19" t="str">
        <f>IFERROR(__xludf.DUMMYFUNCTION("""COMPUTED_VALUE"""),"")</f>
        <v/>
      </c>
      <c r="L18" s="20" t="str">
        <f>IFERROR(__xludf.DUMMYFUNCTION("""COMPUTED_VALUE"""),"")</f>
        <v/>
      </c>
      <c r="M18" s="19" t="str">
        <f>IFERROR(__xludf.DUMMYFUNCTION("""COMPUTED_VALUE"""),"PP")</f>
        <v>PP</v>
      </c>
      <c r="N18" s="19" t="str">
        <f>IFERROR(__xludf.DUMMYFUNCTION("""COMPUTED_VALUE"""),"PRIORIDAD 3 Q1 2024 MARZO")</f>
        <v>PRIORIDAD 3 Q1 2024 MARZO</v>
      </c>
    </row>
    <row r="19" ht="15.75" customHeight="1">
      <c r="A19" s="19" t="str">
        <f>IFERROR(__xludf.DUMMYFUNCTION("""COMPUTED_VALUE"""),"AB_9964")</f>
        <v>AB_9964</v>
      </c>
      <c r="B19" s="19" t="str">
        <f>IFERROR(__xludf.DUMMYFUNCTION("""COMPUTED_VALUE"""),"AB_9964_A")</f>
        <v>AB_9964_A</v>
      </c>
      <c r="C19" s="19" t="str">
        <f>IFERROR(__xludf.DUMMYFUNCTION("""COMPUTED_VALUE"""),"AP9964")</f>
        <v>AP9964</v>
      </c>
      <c r="D19" s="19" t="str">
        <f>IFERROR(__xludf.DUMMYFUNCTION("""COMPUTED_VALUE"""),"Laguna de Cotacotani Sur")</f>
        <v>Laguna de Cotacotani Sur</v>
      </c>
      <c r="E19" s="19" t="str">
        <f>IFERROR(__xludf.DUMMYFUNCTION("""COMPUTED_VALUE"""),"SITIO PENDIENTE")</f>
        <v>SITIO PENDIENTE</v>
      </c>
      <c r="F19" s="19"/>
      <c r="G19" s="19" t="str">
        <f>IFERROR(__xludf.DUMMYFUNCTION("""COMPUTED_VALUE"""),"x")</f>
        <v>x</v>
      </c>
      <c r="H19" s="19" t="str">
        <f>IFERROR(__xludf.DUMMYFUNCTION("""COMPUTED_VALUE"""),"x")</f>
        <v>x</v>
      </c>
      <c r="I19" s="19" t="str">
        <f>IFERROR(__xludf.DUMMYFUNCTION("""COMPUTED_VALUE"""),"x")</f>
        <v>x</v>
      </c>
      <c r="J19" s="20" t="str">
        <f>IFERROR(__xludf.DUMMYFUNCTION("""COMPUTED_VALUE"""),"x")</f>
        <v>x</v>
      </c>
      <c r="K19" s="19" t="str">
        <f>IFERROR(__xludf.DUMMYFUNCTION("""COMPUTED_VALUE"""),"x")</f>
        <v>x</v>
      </c>
      <c r="L19" s="20" t="str">
        <f>IFERROR(__xludf.DUMMYFUNCTION("""COMPUTED_VALUE"""),"x")</f>
        <v>x</v>
      </c>
      <c r="M19" s="19" t="str">
        <f>IFERROR(__xludf.DUMMYFUNCTION("""COMPUTED_VALUE"""),"PP")</f>
        <v>PP</v>
      </c>
      <c r="N19" s="19" t="str">
        <f>IFERROR(__xludf.DUMMYFUNCTION("""COMPUTED_VALUE"""),"PRIORIDAD 3 Q1 2024 MARZO")</f>
        <v>PRIORIDAD 3 Q1 2024 MARZO</v>
      </c>
    </row>
    <row r="20" ht="15.75" customHeight="1">
      <c r="A20" s="19" t="str">
        <f>IFERROR(__xludf.DUMMYFUNCTION("""COMPUTED_VALUE"""),"AB_10153")</f>
        <v>AB_10153</v>
      </c>
      <c r="B20" s="19" t="str">
        <f>IFERROR(__xludf.DUMMYFUNCTION("""COMPUTED_VALUE"""),"AB_10153_A")</f>
        <v>AB_10153_A</v>
      </c>
      <c r="C20" s="19" t="str">
        <f>IFERROR(__xludf.DUMMYFUNCTION("""COMPUTED_VALUE"""),"AR10153")</f>
        <v>AR10153</v>
      </c>
      <c r="D20" s="19" t="str">
        <f>IFERROR(__xludf.DUMMYFUNCTION("""COMPUTED_VALUE"""),"Nacimiento Rio Biobio")</f>
        <v>Nacimiento Rio Biobio</v>
      </c>
      <c r="E20" s="19" t="str">
        <f>IFERROR(__xludf.DUMMYFUNCTION("""COMPUTED_VALUE"""),"SITIO RFI")</f>
        <v>SITIO RFI</v>
      </c>
      <c r="F20" s="19" t="str">
        <f>IFERROR(__xludf.DUMMYFUNCTION("""COMPUTED_VALUE"""),"RFI")</f>
        <v>RFI</v>
      </c>
      <c r="G20" s="19" t="str">
        <f>IFERROR(__xludf.DUMMYFUNCTION("""COMPUTED_VALUE"""),"AS60 (H)")</f>
        <v>AS60 (H)</v>
      </c>
      <c r="H20" s="19" t="str">
        <f>IFERROR(__xludf.DUMMYFUNCTION("""COMPUTED_VALUE"""),"JTI")</f>
        <v>JTI</v>
      </c>
      <c r="I20" s="19" t="str">
        <f>IFERROR(__xludf.DUMMYFUNCTION("""COMPUTED_VALUE"""),"Entregada")</f>
        <v>Entregada</v>
      </c>
      <c r="J20" s="20">
        <f>IFERROR(__xludf.DUMMYFUNCTION("""COMPUTED_VALUE"""),44683.0)</f>
        <v>44683</v>
      </c>
      <c r="K20" s="19" t="str">
        <f>IFERROR(__xludf.DUMMYFUNCTION("""COMPUTED_VALUE"""),"Entregada")</f>
        <v>Entregada</v>
      </c>
      <c r="L20" s="20">
        <f>IFERROR(__xludf.DUMMYFUNCTION("""COMPUTED_VALUE"""),44708.0)</f>
        <v>44708</v>
      </c>
      <c r="M20" s="19" t="str">
        <f>IFERROR(__xludf.DUMMYFUNCTION("""COMPUTED_VALUE"""),"PCM")</f>
        <v>PCM</v>
      </c>
      <c r="N20" s="19" t="str">
        <f>IFERROR(__xludf.DUMMYFUNCTION("""COMPUTED_VALUE"""),"PRIORIDAD 1 Q3 2023 OCTUBRE")</f>
        <v>PRIORIDAD 1 Q3 2023 OCTUBRE</v>
      </c>
    </row>
    <row r="21" ht="15.75" customHeight="1">
      <c r="A21" s="19" t="str">
        <f>IFERROR(__xludf.DUMMYFUNCTION("""COMPUTED_VALUE"""),"AB_10321")</f>
        <v>AB_10321</v>
      </c>
      <c r="B21" s="19" t="str">
        <f>IFERROR(__xludf.DUMMYFUNCTION("""COMPUTED_VALUE"""),"AB_10321_G")</f>
        <v>AB_10321_G</v>
      </c>
      <c r="C21" s="19" t="str">
        <f>IFERROR(__xludf.DUMMYFUNCTION("""COMPUTED_VALUE"""),"AR10321")</f>
        <v>AR10321</v>
      </c>
      <c r="D21" s="19" t="str">
        <f>IFERROR(__xludf.DUMMYFUNCTION("""COMPUTED_VALUE"""),"Hospital Makewe")</f>
        <v>Hospital Makewe</v>
      </c>
      <c r="E21" s="19" t="str">
        <f>IFERROR(__xludf.DUMMYFUNCTION("""COMPUTED_VALUE"""),"SITIO RFI")</f>
        <v>SITIO RFI</v>
      </c>
      <c r="F21" s="19" t="str">
        <f>IFERROR(__xludf.DUMMYFUNCTION("""COMPUTED_VALUE"""),"RFI")</f>
        <v>RFI</v>
      </c>
      <c r="G21" s="19" t="str">
        <f>IFERROR(__xludf.DUMMYFUNCTION("""COMPUTED_VALUE"""),"AS48")</f>
        <v>AS48</v>
      </c>
      <c r="H21" s="19" t="str">
        <f>IFERROR(__xludf.DUMMYFUNCTION("""COMPUTED_VALUE"""),"MER")</f>
        <v>MER</v>
      </c>
      <c r="I21" s="19" t="str">
        <f>IFERROR(__xludf.DUMMYFUNCTION("""COMPUTED_VALUE"""),"Entregada")</f>
        <v>Entregada</v>
      </c>
      <c r="J21" s="20">
        <f>IFERROR(__xludf.DUMMYFUNCTION("""COMPUTED_VALUE"""),44727.0)</f>
        <v>44727</v>
      </c>
      <c r="K21" s="19" t="str">
        <f>IFERROR(__xludf.DUMMYFUNCTION("""COMPUTED_VALUE"""),"Entregada")</f>
        <v>Entregada</v>
      </c>
      <c r="L21" s="20">
        <f>IFERROR(__xludf.DUMMYFUNCTION("""COMPUTED_VALUE"""),44742.0)</f>
        <v>44742</v>
      </c>
      <c r="M21" s="19" t="str">
        <f>IFERROR(__xludf.DUMMYFUNCTION("""COMPUTED_VALUE"""),"PCM")</f>
        <v>PCM</v>
      </c>
      <c r="N21" s="19" t="str">
        <f>IFERROR(__xludf.DUMMYFUNCTION("""COMPUTED_VALUE"""),"PRIORIDAD 1 Q3 2023 OCTUBRE")</f>
        <v>PRIORIDAD 1 Q3 2023 OCTUBRE</v>
      </c>
    </row>
    <row r="22" ht="15.75" customHeight="1">
      <c r="A22" s="19" t="str">
        <f>IFERROR(__xludf.DUMMYFUNCTION("""COMPUTED_VALUE"""),"AB_10349")</f>
        <v>AB_10349</v>
      </c>
      <c r="B22" s="19" t="str">
        <f>IFERROR(__xludf.DUMMYFUNCTION("""COMPUTED_VALUE"""),"AB_10349_C")</f>
        <v>AB_10349_C</v>
      </c>
      <c r="C22" s="19" t="str">
        <f>IFERROR(__xludf.DUMMYFUNCTION("""COMPUTED_VALUE"""),"AR10349")</f>
        <v>AR10349</v>
      </c>
      <c r="D22" s="19" t="str">
        <f>IFERROR(__xludf.DUMMYFUNCTION("""COMPUTED_VALUE"""),"Carahue Salida Oriente")</f>
        <v>Carahue Salida Oriente</v>
      </c>
      <c r="E22" s="19" t="str">
        <f>IFERROR(__xludf.DUMMYFUNCTION("""COMPUTED_VALUE"""),"DETENIDO JUDICIAL")</f>
        <v>DETENIDO JUDICIAL</v>
      </c>
      <c r="F22" s="19"/>
      <c r="G22" s="19" t="str">
        <f>IFERROR(__xludf.DUMMYFUNCTION("""COMPUTED_VALUE"""),"AS60")</f>
        <v>AS60</v>
      </c>
      <c r="H22" s="19" t="str">
        <f>IFERROR(__xludf.DUMMYFUNCTION("""COMPUTED_VALUE"""),"DEITEL")</f>
        <v>DEITEL</v>
      </c>
      <c r="I22" s="19" t="str">
        <f>IFERROR(__xludf.DUMMYFUNCTION("""COMPUTED_VALUE"""),"Entregada")</f>
        <v>Entregada</v>
      </c>
      <c r="J22" s="20">
        <f>IFERROR(__xludf.DUMMYFUNCTION("""COMPUTED_VALUE"""),44705.0)</f>
        <v>44705</v>
      </c>
      <c r="K22" s="19" t="str">
        <f>IFERROR(__xludf.DUMMYFUNCTION("""COMPUTED_VALUE"""),"Entregada")</f>
        <v>Entregada</v>
      </c>
      <c r="L22" s="20">
        <f>IFERROR(__xludf.DUMMYFUNCTION("""COMPUTED_VALUE"""),44734.0)</f>
        <v>44734</v>
      </c>
      <c r="M22" s="19" t="str">
        <f>IFERROR(__xludf.DUMMYFUNCTION("""COMPUTED_VALUE"""),"PCM")</f>
        <v>PCM</v>
      </c>
      <c r="N22" s="19" t="str">
        <f>IFERROR(__xludf.DUMMYFUNCTION("""COMPUTED_VALUE"""),"PRIORIDAD 3 Q1 2024 MARZO")</f>
        <v>PRIORIDAD 3 Q1 2024 MARZO</v>
      </c>
    </row>
    <row r="23" ht="15.75" customHeight="1">
      <c r="A23" s="19" t="str">
        <f>IFERROR(__xludf.DUMMYFUNCTION("""COMPUTED_VALUE"""),"AB_10350")</f>
        <v>AB_10350</v>
      </c>
      <c r="B23" s="19" t="str">
        <f>IFERROR(__xludf.DUMMYFUNCTION("""COMPUTED_VALUE"""),"AB_10350_D")</f>
        <v>AB_10350_D</v>
      </c>
      <c r="C23" s="19" t="str">
        <f>IFERROR(__xludf.DUMMYFUNCTION("""COMPUTED_VALUE"""),"AR10350")</f>
        <v>AR10350</v>
      </c>
      <c r="D23" s="19" t="str">
        <f>IFERROR(__xludf.DUMMYFUNCTION("""COMPUTED_VALUE"""),"Carahue Cullinco")</f>
        <v>Carahue Cullinco</v>
      </c>
      <c r="E23" s="19" t="str">
        <f>IFERROR(__xludf.DUMMYFUNCTION("""COMPUTED_VALUE"""),"SITIO EN CONSTRUCCION")</f>
        <v>SITIO EN CONSTRUCCION</v>
      </c>
      <c r="F23" s="19" t="str">
        <f>IFERROR(__xludf.DUMMYFUNCTION("""COMPUTED_VALUE"""),"EXCAVACION")</f>
        <v>EXCAVACION</v>
      </c>
      <c r="G23" s="19" t="str">
        <f>IFERROR(__xludf.DUMMYFUNCTION("""COMPUTED_VALUE"""),"AS54")</f>
        <v>AS54</v>
      </c>
      <c r="H23" s="19" t="str">
        <f>IFERROR(__xludf.DUMMYFUNCTION("""COMPUTED_VALUE"""),"AJ")</f>
        <v>AJ</v>
      </c>
      <c r="I23" s="19" t="str">
        <f>IFERROR(__xludf.DUMMYFUNCTION("""COMPUTED_VALUE"""),"Entregada")</f>
        <v>Entregada</v>
      </c>
      <c r="J23" s="20">
        <f>IFERROR(__xludf.DUMMYFUNCTION("""COMPUTED_VALUE"""),44636.0)</f>
        <v>44636</v>
      </c>
      <c r="K23" s="19" t="str">
        <f>IFERROR(__xludf.DUMMYFUNCTION("""COMPUTED_VALUE"""),"Terminada")</f>
        <v>Terminada</v>
      </c>
      <c r="L23" s="20">
        <f>IFERROR(__xludf.DUMMYFUNCTION("""COMPUTED_VALUE"""),44834.0)</f>
        <v>44834</v>
      </c>
      <c r="M23" s="19" t="str">
        <f>IFERROR(__xludf.DUMMYFUNCTION("""COMPUTED_VALUE"""),"PCM")</f>
        <v>PCM</v>
      </c>
      <c r="N23" s="19" t="str">
        <f>IFERROR(__xludf.DUMMYFUNCTION("""COMPUTED_VALUE"""),"PRIORIDAD 1 Q3 2023 OCTUBRE")</f>
        <v>PRIORIDAD 1 Q3 2023 OCTUBRE</v>
      </c>
    </row>
    <row r="24" ht="15.75" customHeight="1">
      <c r="A24" s="19" t="str">
        <f>IFERROR(__xludf.DUMMYFUNCTION("""COMPUTED_VALUE"""),"AB_10351")</f>
        <v>AB_10351</v>
      </c>
      <c r="B24" s="19" t="str">
        <f>IFERROR(__xludf.DUMMYFUNCTION("""COMPUTED_VALUE"""),"AB_10351_A")</f>
        <v>AB_10351_A</v>
      </c>
      <c r="C24" s="19" t="str">
        <f>IFERROR(__xludf.DUMMYFUNCTION("""COMPUTED_VALUE"""),"AR10351")</f>
        <v>AR10351</v>
      </c>
      <c r="D24" s="19" t="str">
        <f>IFERROR(__xludf.DUMMYFUNCTION("""COMPUTED_VALUE"""),"Ruta Mininco")</f>
        <v>Ruta Mininco</v>
      </c>
      <c r="E24" s="19" t="str">
        <f>IFERROR(__xludf.DUMMYFUNCTION("""COMPUTED_VALUE"""),"SITIO PENDIENTE")</f>
        <v>SITIO PENDIENTE</v>
      </c>
      <c r="F24" s="19"/>
      <c r="G24" s="19" t="str">
        <f>IFERROR(__xludf.DUMMYFUNCTION("""COMPUTED_VALUE"""),"CV60")</f>
        <v>CV60</v>
      </c>
      <c r="H24" s="19" t="str">
        <f>IFERROR(__xludf.DUMMYFUNCTION("""COMPUTED_VALUE"""),"")</f>
        <v/>
      </c>
      <c r="I24" s="19" t="str">
        <f>IFERROR(__xludf.DUMMYFUNCTION("""COMPUTED_VALUE"""),"")</f>
        <v/>
      </c>
      <c r="J24" s="20" t="str">
        <f>IFERROR(__xludf.DUMMYFUNCTION("""COMPUTED_VALUE"""),"")</f>
        <v/>
      </c>
      <c r="K24" s="19" t="str">
        <f>IFERROR(__xludf.DUMMYFUNCTION("""COMPUTED_VALUE"""),"")</f>
        <v/>
      </c>
      <c r="L24" s="20" t="str">
        <f>IFERROR(__xludf.DUMMYFUNCTION("""COMPUTED_VALUE"""),"")</f>
        <v/>
      </c>
      <c r="M24" s="19" t="str">
        <f>IFERROR(__xludf.DUMMYFUNCTION("""COMPUTED_VALUE"""),"PCM")</f>
        <v>PCM</v>
      </c>
      <c r="N24" s="19" t="str">
        <f>IFERROR(__xludf.DUMMYFUNCTION("""COMPUTED_VALUE"""),"PRIORIDAD 3 Q1 2024 MARZO")</f>
        <v>PRIORIDAD 3 Q1 2024 MARZO</v>
      </c>
    </row>
    <row r="25" ht="15.75" customHeight="1">
      <c r="A25" s="19" t="str">
        <f>IFERROR(__xludf.DUMMYFUNCTION("""COMPUTED_VALUE"""),"AB_10352")</f>
        <v>AB_10352</v>
      </c>
      <c r="B25" s="19" t="str">
        <f>IFERROR(__xludf.DUMMYFUNCTION("""COMPUTED_VALUE"""),"AB_10352_C")</f>
        <v>AB_10352_C</v>
      </c>
      <c r="C25" s="19" t="str">
        <f>IFERROR(__xludf.DUMMYFUNCTION("""COMPUTED_VALUE"""),"AR10352")</f>
        <v>AR10352</v>
      </c>
      <c r="D25" s="19" t="str">
        <f>IFERROR(__xludf.DUMMYFUNCTION("""COMPUTED_VALUE"""),"Estacion Quino Victoria")</f>
        <v>Estacion Quino Victoria</v>
      </c>
      <c r="E25" s="19" t="str">
        <f>IFERROR(__xludf.DUMMYFUNCTION("""COMPUTED_VALUE"""),"SITIO RFI")</f>
        <v>SITIO RFI</v>
      </c>
      <c r="F25" s="19" t="str">
        <f>IFERROR(__xludf.DUMMYFUNCTION("""COMPUTED_VALUE"""),"RFI")</f>
        <v>RFI</v>
      </c>
      <c r="G25" s="19" t="str">
        <f>IFERROR(__xludf.DUMMYFUNCTION("""COMPUTED_VALUE"""),"CV60")</f>
        <v>CV60</v>
      </c>
      <c r="H25" s="19" t="str">
        <f>IFERROR(__xludf.DUMMYFUNCTION("""COMPUTED_VALUE"""),"DEITEL")</f>
        <v>DEITEL</v>
      </c>
      <c r="I25" s="19" t="str">
        <f>IFERROR(__xludf.DUMMYFUNCTION("""COMPUTED_VALUE"""),"Entregada")</f>
        <v>Entregada</v>
      </c>
      <c r="J25" s="20">
        <f>IFERROR(__xludf.DUMMYFUNCTION("""COMPUTED_VALUE"""),44746.0)</f>
        <v>44746</v>
      </c>
      <c r="K25" s="19" t="str">
        <f>IFERROR(__xludf.DUMMYFUNCTION("""COMPUTED_VALUE"""),"Entregada")</f>
        <v>Entregada</v>
      </c>
      <c r="L25" s="20">
        <f>IFERROR(__xludf.DUMMYFUNCTION("""COMPUTED_VALUE"""),44782.0)</f>
        <v>44782</v>
      </c>
      <c r="M25" s="19" t="str">
        <f>IFERROR(__xludf.DUMMYFUNCTION("""COMPUTED_VALUE"""),"PCM")</f>
        <v>PCM</v>
      </c>
      <c r="N25" s="19" t="str">
        <f>IFERROR(__xludf.DUMMYFUNCTION("""COMPUTED_VALUE"""),"PRIORIDAD 1 Q3 2023 OCTUBRE")</f>
        <v>PRIORIDAD 1 Q3 2023 OCTUBRE</v>
      </c>
    </row>
    <row r="26" ht="15.75" customHeight="1">
      <c r="A26" s="19" t="str">
        <f>IFERROR(__xludf.DUMMYFUNCTION("""COMPUTED_VALUE"""),"AB_10353")</f>
        <v>AB_10353</v>
      </c>
      <c r="B26" s="19" t="str">
        <f>IFERROR(__xludf.DUMMYFUNCTION("""COMPUTED_VALUE"""),"AB_10353_A")</f>
        <v>AB_10353_A</v>
      </c>
      <c r="C26" s="19" t="str">
        <f>IFERROR(__xludf.DUMMYFUNCTION("""COMPUTED_VALUE"""),"AR10353")</f>
        <v>AR10353</v>
      </c>
      <c r="D26" s="19" t="str">
        <f>IFERROR(__xludf.DUMMYFUNCTION("""COMPUTED_VALUE"""),"Ruta Curacautin - Victoria")</f>
        <v>Ruta Curacautin - Victoria</v>
      </c>
      <c r="E26" s="19" t="str">
        <f>IFERROR(__xludf.DUMMYFUNCTION("""COMPUTED_VALUE"""),"SITIO RFI")</f>
        <v>SITIO RFI</v>
      </c>
      <c r="F26" s="19" t="str">
        <f>IFERROR(__xludf.DUMMYFUNCTION("""COMPUTED_VALUE"""),"RFI")</f>
        <v>RFI</v>
      </c>
      <c r="G26" s="19" t="str">
        <f>IFERROR(__xludf.DUMMYFUNCTION("""COMPUTED_VALUE"""),"AS48")</f>
        <v>AS48</v>
      </c>
      <c r="H26" s="19" t="str">
        <f>IFERROR(__xludf.DUMMYFUNCTION("""COMPUTED_VALUE"""),"MARJOS")</f>
        <v>MARJOS</v>
      </c>
      <c r="I26" s="19" t="str">
        <f>IFERROR(__xludf.DUMMYFUNCTION("""COMPUTED_VALUE"""),"Entregada")</f>
        <v>Entregada</v>
      </c>
      <c r="J26" s="20">
        <f>IFERROR(__xludf.DUMMYFUNCTION("""COMPUTED_VALUE"""),44656.0)</f>
        <v>44656</v>
      </c>
      <c r="K26" s="19" t="str">
        <f>IFERROR(__xludf.DUMMYFUNCTION("""COMPUTED_VALUE"""),"Entregada")</f>
        <v>Entregada</v>
      </c>
      <c r="L26" s="20">
        <f>IFERROR(__xludf.DUMMYFUNCTION("""COMPUTED_VALUE"""),44701.0)</f>
        <v>44701</v>
      </c>
      <c r="M26" s="19" t="str">
        <f>IFERROR(__xludf.DUMMYFUNCTION("""COMPUTED_VALUE"""),"PCM")</f>
        <v>PCM</v>
      </c>
      <c r="N26" s="19" t="str">
        <f>IFERROR(__xludf.DUMMYFUNCTION("""COMPUTED_VALUE"""),"PRIORIDAD 1 Q3 2023 OCTUBRE")</f>
        <v>PRIORIDAD 1 Q3 2023 OCTUBRE</v>
      </c>
    </row>
    <row r="27" ht="15.75" customHeight="1">
      <c r="A27" s="19" t="str">
        <f>IFERROR(__xludf.DUMMYFUNCTION("""COMPUTED_VALUE"""),"AB_10354")</f>
        <v>AB_10354</v>
      </c>
      <c r="B27" s="19" t="str">
        <f>IFERROR(__xludf.DUMMYFUNCTION("""COMPUTED_VALUE"""),"AB_10354_C")</f>
        <v>AB_10354_C</v>
      </c>
      <c r="C27" s="19" t="str">
        <f>IFERROR(__xludf.DUMMYFUNCTION("""COMPUTED_VALUE"""),"AR10354")</f>
        <v>AR10354</v>
      </c>
      <c r="D27" s="19" t="str">
        <f>IFERROR(__xludf.DUMMYFUNCTION("""COMPUTED_VALUE"""),"Lastarria")</f>
        <v>Lastarria</v>
      </c>
      <c r="E27" s="19" t="str">
        <f>IFERROR(__xludf.DUMMYFUNCTION("""COMPUTED_VALUE"""),"SITIO EN CONSTRUCCION")</f>
        <v>SITIO EN CONSTRUCCION</v>
      </c>
      <c r="F27" s="19" t="str">
        <f>IFERROR(__xludf.DUMMYFUNCTION("""COMPUTED_VALUE"""),"VISITA")</f>
        <v>VISITA</v>
      </c>
      <c r="G27" s="19" t="str">
        <f>IFERROR(__xludf.DUMMYFUNCTION("""COMPUTED_VALUE"""),"CV60")</f>
        <v>CV60</v>
      </c>
      <c r="H27" s="19" t="str">
        <f>IFERROR(__xludf.DUMMYFUNCTION("""COMPUTED_VALUE"""),"INCOSERV")</f>
        <v>INCOSERV</v>
      </c>
      <c r="I27" s="19" t="str">
        <f>IFERROR(__xludf.DUMMYFUNCTION("""COMPUTED_VALUE"""),"Terminada")</f>
        <v>Terminada</v>
      </c>
      <c r="J27" s="20">
        <f>IFERROR(__xludf.DUMMYFUNCTION("""COMPUTED_VALUE"""),45034.0)</f>
        <v>45034</v>
      </c>
      <c r="K27" s="19" t="str">
        <f>IFERROR(__xludf.DUMMYFUNCTION("""COMPUTED_VALUE"""),"Por pintar ")</f>
        <v>Por pintar </v>
      </c>
      <c r="L27" s="20">
        <f>IFERROR(__xludf.DUMMYFUNCTION("""COMPUTED_VALUE"""),45107.0)</f>
        <v>45107</v>
      </c>
      <c r="M27" s="19" t="str">
        <f>IFERROR(__xludf.DUMMYFUNCTION("""COMPUTED_VALUE"""),"PCM")</f>
        <v>PCM</v>
      </c>
      <c r="N27" s="19" t="str">
        <f>IFERROR(__xludf.DUMMYFUNCTION("""COMPUTED_VALUE"""),"PRIORIDAD 1 Q3 2023 OCTUBRE")</f>
        <v>PRIORIDAD 1 Q3 2023 OCTUBRE</v>
      </c>
    </row>
    <row r="28" ht="15.75" customHeight="1">
      <c r="A28" s="19" t="str">
        <f>IFERROR(__xludf.DUMMYFUNCTION("""COMPUTED_VALUE"""),"AB_10394")</f>
        <v>AB_10394</v>
      </c>
      <c r="B28" s="19" t="str">
        <f>IFERROR(__xludf.DUMMYFUNCTION("""COMPUTED_VALUE"""),"AB_10394_A")</f>
        <v>AB_10394_A</v>
      </c>
      <c r="C28" s="19" t="str">
        <f>IFERROR(__xludf.DUMMYFUNCTION("""COMPUTED_VALUE"""),"AR10394")</f>
        <v>AR10394</v>
      </c>
      <c r="D28" s="19" t="str">
        <f>IFERROR(__xludf.DUMMYFUNCTION("""COMPUTED_VALUE"""),"LLOO Mahudanche SUR")</f>
        <v>LLOO Mahudanche SUR</v>
      </c>
      <c r="E28" s="19" t="str">
        <f>IFERROR(__xludf.DUMMYFUNCTION("""COMPUTED_VALUE"""),"SITIO RFI")</f>
        <v>SITIO RFI</v>
      </c>
      <c r="F28" s="19" t="str">
        <f>IFERROR(__xludf.DUMMYFUNCTION("""COMPUTED_VALUE"""),"RFI")</f>
        <v>RFI</v>
      </c>
      <c r="G28" s="19" t="str">
        <f>IFERROR(__xludf.DUMMYFUNCTION("""COMPUTED_VALUE"""),"AS48")</f>
        <v>AS48</v>
      </c>
      <c r="H28" s="19" t="str">
        <f>IFERROR(__xludf.DUMMYFUNCTION("""COMPUTED_VALUE"""),"ADM")</f>
        <v>ADM</v>
      </c>
      <c r="I28" s="19" t="str">
        <f>IFERROR(__xludf.DUMMYFUNCTION("""COMPUTED_VALUE"""),"Entregada")</f>
        <v>Entregada</v>
      </c>
      <c r="J28" s="20">
        <f>IFERROR(__xludf.DUMMYFUNCTION("""COMPUTED_VALUE"""),44750.0)</f>
        <v>44750</v>
      </c>
      <c r="K28" s="19" t="str">
        <f>IFERROR(__xludf.DUMMYFUNCTION("""COMPUTED_VALUE"""),"Entregada")</f>
        <v>Entregada</v>
      </c>
      <c r="L28" s="20">
        <f>IFERROR(__xludf.DUMMYFUNCTION("""COMPUTED_VALUE"""),44785.0)</f>
        <v>44785</v>
      </c>
      <c r="M28" s="19" t="str">
        <f>IFERROR(__xludf.DUMMYFUNCTION("""COMPUTED_VALUE"""),"LLOO")</f>
        <v>LLOO</v>
      </c>
      <c r="N28" s="19" t="str">
        <f>IFERROR(__xludf.DUMMYFUNCTION("""COMPUTED_VALUE"""),"PRIORIDAD 1 Q3 2023 OCTUBRE")</f>
        <v>PRIORIDAD 1 Q3 2023 OCTUBRE</v>
      </c>
    </row>
    <row r="29" ht="15.75" customHeight="1">
      <c r="A29" s="19" t="str">
        <f>IFERROR(__xludf.DUMMYFUNCTION("""COMPUTED_VALUE"""),"AB_10395")</f>
        <v>AB_10395</v>
      </c>
      <c r="B29" s="19" t="str">
        <f>IFERROR(__xludf.DUMMYFUNCTION("""COMPUTED_VALUE"""),"AB_10395_A")</f>
        <v>AB_10395_A</v>
      </c>
      <c r="C29" s="19" t="str">
        <f>IFERROR(__xludf.DUMMYFUNCTION("""COMPUTED_VALUE"""),"AR10395")</f>
        <v>AR10395</v>
      </c>
      <c r="D29" s="19" t="str">
        <f>IFERROR(__xludf.DUMMYFUNCTION("""COMPUTED_VALUE"""),"RPT Cauñicú")</f>
        <v>RPT Cauñicú</v>
      </c>
      <c r="E29" s="19" t="str">
        <f>IFERROR(__xludf.DUMMYFUNCTION("""COMPUTED_VALUE"""),"SITIO RFI")</f>
        <v>SITIO RFI</v>
      </c>
      <c r="F29" s="19" t="str">
        <f>IFERROR(__xludf.DUMMYFUNCTION("""COMPUTED_VALUE"""),"RFI")</f>
        <v>RFI</v>
      </c>
      <c r="G29" s="19" t="str">
        <f>IFERROR(__xludf.DUMMYFUNCTION("""COMPUTED_VALUE"""),"AS36")</f>
        <v>AS36</v>
      </c>
      <c r="H29" s="19" t="str">
        <f>IFERROR(__xludf.DUMMYFUNCTION("""COMPUTED_VALUE"""),"MER")</f>
        <v>MER</v>
      </c>
      <c r="I29" s="19" t="str">
        <f>IFERROR(__xludf.DUMMYFUNCTION("""COMPUTED_VALUE"""),"Entregada")</f>
        <v>Entregada</v>
      </c>
      <c r="J29" s="20">
        <f>IFERROR(__xludf.DUMMYFUNCTION("""COMPUTED_VALUE"""),44862.0)</f>
        <v>44862</v>
      </c>
      <c r="K29" s="19" t="str">
        <f>IFERROR(__xludf.DUMMYFUNCTION("""COMPUTED_VALUE"""),"Entregada")</f>
        <v>Entregada</v>
      </c>
      <c r="L29" s="20">
        <f>IFERROR(__xludf.DUMMYFUNCTION("""COMPUTED_VALUE"""),44869.0)</f>
        <v>44869</v>
      </c>
      <c r="M29" s="19" t="str">
        <f>IFERROR(__xludf.DUMMYFUNCTION("""COMPUTED_VALUE"""),"LLOO")</f>
        <v>LLOO</v>
      </c>
      <c r="N29" s="19" t="str">
        <f>IFERROR(__xludf.DUMMYFUNCTION("""COMPUTED_VALUE"""),"PRIORIDAD 1 Q3 2023 OCTUBRE")</f>
        <v>PRIORIDAD 1 Q3 2023 OCTUBRE</v>
      </c>
    </row>
    <row r="30" ht="15.75" customHeight="1">
      <c r="A30" s="19" t="str">
        <f>IFERROR(__xludf.DUMMYFUNCTION("""COMPUTED_VALUE"""),"AB_10398")</f>
        <v>AB_10398</v>
      </c>
      <c r="B30" s="19" t="str">
        <f>IFERROR(__xludf.DUMMYFUNCTION("""COMPUTED_VALUE"""),"AB_10398_D")</f>
        <v>AB_10398_D</v>
      </c>
      <c r="C30" s="19" t="str">
        <f>IFERROR(__xludf.DUMMYFUNCTION("""COMPUTED_VALUE"""),"AR10398")</f>
        <v>AR10398</v>
      </c>
      <c r="D30" s="19" t="str">
        <f>IFERROR(__xludf.DUMMYFUNCTION("""COMPUTED_VALUE"""),"LLOO S70 Gorbea")</f>
        <v>LLOO S70 Gorbea</v>
      </c>
      <c r="E30" s="19" t="str">
        <f>IFERROR(__xludf.DUMMYFUNCTION("""COMPUTED_VALUE"""),"SITIO RFI")</f>
        <v>SITIO RFI</v>
      </c>
      <c r="F30" s="19" t="str">
        <f>IFERROR(__xludf.DUMMYFUNCTION("""COMPUTED_VALUE"""),"RFI")</f>
        <v>RFI</v>
      </c>
      <c r="G30" s="19" t="str">
        <f>IFERROR(__xludf.DUMMYFUNCTION("""COMPUTED_VALUE"""),"AS54")</f>
        <v>AS54</v>
      </c>
      <c r="H30" s="19" t="str">
        <f>IFERROR(__xludf.DUMMYFUNCTION("""COMPUTED_VALUE"""),"MER")</f>
        <v>MER</v>
      </c>
      <c r="I30" s="19" t="str">
        <f>IFERROR(__xludf.DUMMYFUNCTION("""COMPUTED_VALUE"""),"Entregada")</f>
        <v>Entregada</v>
      </c>
      <c r="J30" s="20">
        <f>IFERROR(__xludf.DUMMYFUNCTION("""COMPUTED_VALUE"""),44881.0)</f>
        <v>44881</v>
      </c>
      <c r="K30" s="19" t="str">
        <f>IFERROR(__xludf.DUMMYFUNCTION("""COMPUTED_VALUE"""),"Entregada")</f>
        <v>Entregada</v>
      </c>
      <c r="L30" s="20">
        <f>IFERROR(__xludf.DUMMYFUNCTION("""COMPUTED_VALUE"""),44881.0)</f>
        <v>44881</v>
      </c>
      <c r="M30" s="19" t="str">
        <f>IFERROR(__xludf.DUMMYFUNCTION("""COMPUTED_VALUE"""),"LLOO")</f>
        <v>LLOO</v>
      </c>
      <c r="N30" s="19" t="str">
        <f>IFERROR(__xludf.DUMMYFUNCTION("""COMPUTED_VALUE"""),"PRIORIDAD 1 Q3 2023 OCTUBRE")</f>
        <v>PRIORIDAD 1 Q3 2023 OCTUBRE</v>
      </c>
    </row>
    <row r="31" ht="15.75" customHeight="1">
      <c r="A31" s="19" t="str">
        <f>IFERROR(__xludf.DUMMYFUNCTION("""COMPUTED_VALUE"""),"AB_10399")</f>
        <v>AB_10399</v>
      </c>
      <c r="B31" s="19" t="str">
        <f>IFERROR(__xludf.DUMMYFUNCTION("""COMPUTED_VALUE"""),"AB_10399_A")</f>
        <v>AB_10399_A</v>
      </c>
      <c r="C31" s="19" t="str">
        <f>IFERROR(__xludf.DUMMYFUNCTION("""COMPUTED_VALUE"""),"AR10399")</f>
        <v>AR10399</v>
      </c>
      <c r="D31" s="19" t="str">
        <f>IFERROR(__xludf.DUMMYFUNCTION("""COMPUTED_VALUE"""),"LLOO Rio Allipen")</f>
        <v>LLOO Rio Allipen</v>
      </c>
      <c r="E31" s="19" t="str">
        <f>IFERROR(__xludf.DUMMYFUNCTION("""COMPUTED_VALUE"""),"SITIO RFI")</f>
        <v>SITIO RFI</v>
      </c>
      <c r="F31" s="19" t="str">
        <f>IFERROR(__xludf.DUMMYFUNCTION("""COMPUTED_VALUE"""),"RFI")</f>
        <v>RFI</v>
      </c>
      <c r="G31" s="19" t="str">
        <f>IFERROR(__xludf.DUMMYFUNCTION("""COMPUTED_VALUE"""),"CV42")</f>
        <v>CV42</v>
      </c>
      <c r="H31" s="19" t="str">
        <f>IFERROR(__xludf.DUMMYFUNCTION("""COMPUTED_VALUE"""),"SYC")</f>
        <v>SYC</v>
      </c>
      <c r="I31" s="19" t="str">
        <f>IFERROR(__xludf.DUMMYFUNCTION("""COMPUTED_VALUE"""),"Entregada")</f>
        <v>Entregada</v>
      </c>
      <c r="J31" s="20">
        <f>IFERROR(__xludf.DUMMYFUNCTION("""COMPUTED_VALUE"""),44874.0)</f>
        <v>44874</v>
      </c>
      <c r="K31" s="19" t="str">
        <f>IFERROR(__xludf.DUMMYFUNCTION("""COMPUTED_VALUE"""),"Entregada")</f>
        <v>Entregada</v>
      </c>
      <c r="L31" s="20">
        <f>IFERROR(__xludf.DUMMYFUNCTION("""COMPUTED_VALUE"""),44883.0)</f>
        <v>44883</v>
      </c>
      <c r="M31" s="19" t="str">
        <f>IFERROR(__xludf.DUMMYFUNCTION("""COMPUTED_VALUE"""),"LLOO")</f>
        <v>LLOO</v>
      </c>
      <c r="N31" s="19" t="str">
        <f>IFERROR(__xludf.DUMMYFUNCTION("""COMPUTED_VALUE"""),"PRIORIDAD 1 Q3 2023 OCTUBRE")</f>
        <v>PRIORIDAD 1 Q3 2023 OCTUBRE</v>
      </c>
    </row>
    <row r="32" ht="15.75" customHeight="1">
      <c r="A32" s="19" t="str">
        <f>IFERROR(__xludf.DUMMYFUNCTION("""COMPUTED_VALUE"""),"AB_10400")</f>
        <v>AB_10400</v>
      </c>
      <c r="B32" s="19" t="str">
        <f>IFERROR(__xludf.DUMMYFUNCTION("""COMPUTED_VALUE"""),"AB_10400_C")</f>
        <v>AB_10400_C</v>
      </c>
      <c r="C32" s="19" t="str">
        <f>IFERROR(__xludf.DUMMYFUNCTION("""COMPUTED_VALUE"""),"AR10400")</f>
        <v>AR10400</v>
      </c>
      <c r="D32" s="19" t="str">
        <f>IFERROR(__xludf.DUMMYFUNCTION("""COMPUTED_VALUE"""),"LLOO Barros Arana")</f>
        <v>LLOO Barros Arana</v>
      </c>
      <c r="E32" s="19" t="str">
        <f>IFERROR(__xludf.DUMMYFUNCTION("""COMPUTED_VALUE"""),"SITIO RFI")</f>
        <v>SITIO RFI</v>
      </c>
      <c r="F32" s="19" t="str">
        <f>IFERROR(__xludf.DUMMYFUNCTION("""COMPUTED_VALUE"""),"RFI")</f>
        <v>RFI</v>
      </c>
      <c r="G32" s="19" t="str">
        <f>IFERROR(__xludf.DUMMYFUNCTION("""COMPUTED_VALUE"""),"CV54")</f>
        <v>CV54</v>
      </c>
      <c r="H32" s="19" t="str">
        <f>IFERROR(__xludf.DUMMYFUNCTION("""COMPUTED_VALUE"""),"DEITEL")</f>
        <v>DEITEL</v>
      </c>
      <c r="I32" s="19" t="str">
        <f>IFERROR(__xludf.DUMMYFUNCTION("""COMPUTED_VALUE"""),"Entregada")</f>
        <v>Entregada</v>
      </c>
      <c r="J32" s="20">
        <f>IFERROR(__xludf.DUMMYFUNCTION("""COMPUTED_VALUE"""),44876.0)</f>
        <v>44876</v>
      </c>
      <c r="K32" s="19" t="str">
        <f>IFERROR(__xludf.DUMMYFUNCTION("""COMPUTED_VALUE"""),"Entregada")</f>
        <v>Entregada</v>
      </c>
      <c r="L32" s="20">
        <f>IFERROR(__xludf.DUMMYFUNCTION("""COMPUTED_VALUE"""),44898.0)</f>
        <v>44898</v>
      </c>
      <c r="M32" s="19" t="str">
        <f>IFERROR(__xludf.DUMMYFUNCTION("""COMPUTED_VALUE"""),"LLOO")</f>
        <v>LLOO</v>
      </c>
      <c r="N32" s="19" t="str">
        <f>IFERROR(__xludf.DUMMYFUNCTION("""COMPUTED_VALUE"""),"PRIORIDAD 1 Q3 2023 OCTUBRE")</f>
        <v>PRIORIDAD 1 Q3 2023 OCTUBRE</v>
      </c>
    </row>
    <row r="33" ht="15.75" customHeight="1">
      <c r="A33" s="19" t="str">
        <f>IFERROR(__xludf.DUMMYFUNCTION("""COMPUTED_VALUE"""),"AB_2247")</f>
        <v>AB_2247</v>
      </c>
      <c r="B33" s="19" t="str">
        <f>IFERROR(__xludf.DUMMYFUNCTION("""COMPUTED_VALUE"""),"AB_2247_B")</f>
        <v>AB_2247_B</v>
      </c>
      <c r="C33" s="19" t="str">
        <f>IFERROR(__xludf.DUMMYFUNCTION("""COMPUTED_VALUE"""),"AN2247")</f>
        <v>AN2247</v>
      </c>
      <c r="D33" s="19" t="str">
        <f>IFERROR(__xludf.DUMMYFUNCTION("""COMPUTED_VALUE"""),"Mantos Blancos Cerro")</f>
        <v>Mantos Blancos Cerro</v>
      </c>
      <c r="E33" s="19" t="str">
        <f>IFERROR(__xludf.DUMMYFUNCTION("""COMPUTED_VALUE"""),"SITIO CONSTRUIDO")</f>
        <v>SITIO CONSTRUIDO</v>
      </c>
      <c r="F33" s="19" t="str">
        <f>IFERROR(__xludf.DUMMYFUNCTION("""COMPUTED_VALUE"""),"ENFIERRADURA")</f>
        <v>ENFIERRADURA</v>
      </c>
      <c r="G33" s="19" t="str">
        <f>IFERROR(__xludf.DUMMYFUNCTION("""COMPUTED_VALUE"""),"AS48")</f>
        <v>AS48</v>
      </c>
      <c r="H33" s="19" t="str">
        <f>IFERROR(__xludf.DUMMYFUNCTION("""COMPUTED_VALUE"""),"AJ")</f>
        <v>AJ</v>
      </c>
      <c r="I33" s="19" t="str">
        <f>IFERROR(__xludf.DUMMYFUNCTION("""COMPUTED_VALUE"""),"Entregada")</f>
        <v>Entregada</v>
      </c>
      <c r="J33" s="20">
        <f>IFERROR(__xludf.DUMMYFUNCTION("""COMPUTED_VALUE"""),44655.0)</f>
        <v>44655</v>
      </c>
      <c r="K33" s="19" t="str">
        <f>IFERROR(__xludf.DUMMYFUNCTION("""COMPUTED_VALUE"""),"Entregada")</f>
        <v>Entregada</v>
      </c>
      <c r="L33" s="20">
        <f>IFERROR(__xludf.DUMMYFUNCTION("""COMPUTED_VALUE"""),44636.0)</f>
        <v>44636</v>
      </c>
      <c r="M33" s="19" t="str">
        <f>IFERROR(__xludf.DUMMYFUNCTION("""COMPUTED_VALUE"""),"PCM")</f>
        <v>PCM</v>
      </c>
      <c r="N33" s="19" t="str">
        <f>IFERROR(__xludf.DUMMYFUNCTION("""COMPUTED_VALUE"""),"PRIORIDAD 1 Q3 2023 OCTUBRE")</f>
        <v>PRIORIDAD 1 Q3 2023 OCTUBRE</v>
      </c>
    </row>
    <row r="34" ht="15.75" customHeight="1">
      <c r="A34" s="19" t="str">
        <f>IFERROR(__xludf.DUMMYFUNCTION("""COMPUTED_VALUE"""),"AB_10402")</f>
        <v>AB_10402</v>
      </c>
      <c r="B34" s="19" t="str">
        <f>IFERROR(__xludf.DUMMYFUNCTION("""COMPUTED_VALUE"""),"AB_10402_C")</f>
        <v>AB_10402_C</v>
      </c>
      <c r="C34" s="19" t="str">
        <f>IFERROR(__xludf.DUMMYFUNCTION("""COMPUTED_VALUE"""),"AR10402")</f>
        <v>AR10402</v>
      </c>
      <c r="D34" s="19" t="str">
        <f>IFERROR(__xludf.DUMMYFUNCTION("""COMPUTED_VALUE"""),"LLOO Carahue Norte")</f>
        <v>LLOO Carahue Norte</v>
      </c>
      <c r="E34" s="19" t="str">
        <f>IFERROR(__xludf.DUMMYFUNCTION("""COMPUTED_VALUE"""),"DETENIDO REGULACION")</f>
        <v>DETENIDO REGULACION</v>
      </c>
      <c r="F34" s="19" t="str">
        <f>IFERROR(__xludf.DUMMYFUNCTION("""COMPUTED_VALUE"""),"HORMIGONADO")</f>
        <v>HORMIGONADO</v>
      </c>
      <c r="G34" s="19" t="str">
        <f>IFERROR(__xludf.DUMMYFUNCTION("""COMPUTED_VALUE"""),"CV48")</f>
        <v>CV48</v>
      </c>
      <c r="H34" s="19" t="str">
        <f>IFERROR(__xludf.DUMMYFUNCTION("""COMPUTED_VALUE"""),"JTI")</f>
        <v>JTI</v>
      </c>
      <c r="I34" s="19" t="str">
        <f>IFERROR(__xludf.DUMMYFUNCTION("""COMPUTED_VALUE"""),"Entregada")</f>
        <v>Entregada</v>
      </c>
      <c r="J34" s="20">
        <f>IFERROR(__xludf.DUMMYFUNCTION("""COMPUTED_VALUE"""),44859.0)</f>
        <v>44859</v>
      </c>
      <c r="K34" s="19" t="str">
        <f>IFERROR(__xludf.DUMMYFUNCTION("""COMPUTED_VALUE"""),"Entregada")</f>
        <v>Entregada</v>
      </c>
      <c r="L34" s="20">
        <f>IFERROR(__xludf.DUMMYFUNCTION("""COMPUTED_VALUE"""),44771.0)</f>
        <v>44771</v>
      </c>
      <c r="M34" s="19" t="str">
        <f>IFERROR(__xludf.DUMMYFUNCTION("""COMPUTED_VALUE"""),"LLOO")</f>
        <v>LLOO</v>
      </c>
      <c r="N34" s="19" t="str">
        <f>IFERROR(__xludf.DUMMYFUNCTION("""COMPUTED_VALUE"""),"PRIORIDAD 3 Q1 2024 MARZO")</f>
        <v>PRIORIDAD 3 Q1 2024 MARZO</v>
      </c>
    </row>
    <row r="35" ht="15.75" customHeight="1">
      <c r="A35" s="19" t="str">
        <f>IFERROR(__xludf.DUMMYFUNCTION("""COMPUTED_VALUE"""),"AB_10403")</f>
        <v>AB_10403</v>
      </c>
      <c r="B35" s="19" t="str">
        <f>IFERROR(__xludf.DUMMYFUNCTION("""COMPUTED_VALUE"""),"AB_10403_A")</f>
        <v>AB_10403_A</v>
      </c>
      <c r="C35" s="19" t="str">
        <f>IFERROR(__xludf.DUMMYFUNCTION("""COMPUTED_VALUE"""),"AR10403")</f>
        <v>AR10403</v>
      </c>
      <c r="D35" s="19" t="str">
        <f>IFERROR(__xludf.DUMMYFUNCTION("""COMPUTED_VALUE"""),"LLOO Nueva Imperial Sur Oriente")</f>
        <v>LLOO Nueva Imperial Sur Oriente</v>
      </c>
      <c r="E35" s="19" t="str">
        <f>IFERROR(__xludf.DUMMYFUNCTION("""COMPUTED_VALUE"""),"SITIO RFI")</f>
        <v>SITIO RFI</v>
      </c>
      <c r="F35" s="19" t="str">
        <f>IFERROR(__xludf.DUMMYFUNCTION("""COMPUTED_VALUE"""),"RFI")</f>
        <v>RFI</v>
      </c>
      <c r="G35" s="19" t="str">
        <f>IFERROR(__xludf.DUMMYFUNCTION("""COMPUTED_VALUE"""),"CV60")</f>
        <v>CV60</v>
      </c>
      <c r="H35" s="19" t="str">
        <f>IFERROR(__xludf.DUMMYFUNCTION("""COMPUTED_VALUE"""),"DEPROMET")</f>
        <v>DEPROMET</v>
      </c>
      <c r="I35" s="19" t="str">
        <f>IFERROR(__xludf.DUMMYFUNCTION("""COMPUTED_VALUE"""),"Entregada")</f>
        <v>Entregada</v>
      </c>
      <c r="J35" s="20">
        <f>IFERROR(__xludf.DUMMYFUNCTION("""COMPUTED_VALUE"""),44883.0)</f>
        <v>44883</v>
      </c>
      <c r="K35" s="19" t="str">
        <f>IFERROR(__xludf.DUMMYFUNCTION("""COMPUTED_VALUE"""),"Entregada")</f>
        <v>Entregada</v>
      </c>
      <c r="L35" s="20">
        <f>IFERROR(__xludf.DUMMYFUNCTION("""COMPUTED_VALUE"""),44897.0)</f>
        <v>44897</v>
      </c>
      <c r="M35" s="19" t="str">
        <f>IFERROR(__xludf.DUMMYFUNCTION("""COMPUTED_VALUE"""),"LLOO")</f>
        <v>LLOO</v>
      </c>
      <c r="N35" s="19" t="str">
        <f>IFERROR(__xludf.DUMMYFUNCTION("""COMPUTED_VALUE"""),"PRIORIDAD 1 Q3 2023 OCTUBRE")</f>
        <v>PRIORIDAD 1 Q3 2023 OCTUBRE</v>
      </c>
    </row>
    <row r="36" ht="15.75" customHeight="1">
      <c r="A36" s="19" t="str">
        <f>IFERROR(__xludf.DUMMYFUNCTION("""COMPUTED_VALUE"""),"AB_10404")</f>
        <v>AB_10404</v>
      </c>
      <c r="B36" s="19" t="str">
        <f>IFERROR(__xludf.DUMMYFUNCTION("""COMPUTED_VALUE"""),"AB_10404_D")</f>
        <v>AB_10404_D</v>
      </c>
      <c r="C36" s="19" t="str">
        <f>IFERROR(__xludf.DUMMYFUNCTION("""COMPUTED_VALUE"""),"AR10404")</f>
        <v>AR10404</v>
      </c>
      <c r="D36" s="19" t="str">
        <f>IFERROR(__xludf.DUMMYFUNCTION("""COMPUTED_VALUE"""),"LLOO Radal Sur")</f>
        <v>LLOO Radal Sur</v>
      </c>
      <c r="E36" s="19" t="str">
        <f>IFERROR(__xludf.DUMMYFUNCTION("""COMPUTED_VALUE"""),"SITIO RFI")</f>
        <v>SITIO RFI</v>
      </c>
      <c r="F36" s="19" t="str">
        <f>IFERROR(__xludf.DUMMYFUNCTION("""COMPUTED_VALUE"""),"RFI")</f>
        <v>RFI</v>
      </c>
      <c r="G36" s="19" t="str">
        <f>IFERROR(__xludf.DUMMYFUNCTION("""COMPUTED_VALUE"""),"AS60")</f>
        <v>AS60</v>
      </c>
      <c r="H36" s="19" t="str">
        <f>IFERROR(__xludf.DUMMYFUNCTION("""COMPUTED_VALUE"""),"MER")</f>
        <v>MER</v>
      </c>
      <c r="I36" s="19" t="str">
        <f>IFERROR(__xludf.DUMMYFUNCTION("""COMPUTED_VALUE"""),"Entregada")</f>
        <v>Entregada</v>
      </c>
      <c r="J36" s="20">
        <f>IFERROR(__xludf.DUMMYFUNCTION("""COMPUTED_VALUE"""),44722.0)</f>
        <v>44722</v>
      </c>
      <c r="K36" s="19" t="str">
        <f>IFERROR(__xludf.DUMMYFUNCTION("""COMPUTED_VALUE"""),"Entregada")</f>
        <v>Entregada</v>
      </c>
      <c r="L36" s="20">
        <f>IFERROR(__xludf.DUMMYFUNCTION("""COMPUTED_VALUE"""),44743.0)</f>
        <v>44743</v>
      </c>
      <c r="M36" s="19" t="str">
        <f>IFERROR(__xludf.DUMMYFUNCTION("""COMPUTED_VALUE"""),"LLOO")</f>
        <v>LLOO</v>
      </c>
      <c r="N36" s="19" t="str">
        <f>IFERROR(__xludf.DUMMYFUNCTION("""COMPUTED_VALUE"""),"PRIORIDAD 1 Q3 2023 OCTUBRE")</f>
        <v>PRIORIDAD 1 Q3 2023 OCTUBRE</v>
      </c>
    </row>
    <row r="37" ht="15.75" customHeight="1">
      <c r="A37" s="19" t="str">
        <f>IFERROR(__xludf.DUMMYFUNCTION("""COMPUTED_VALUE"""),"AB_4763")</f>
        <v>AB_4763</v>
      </c>
      <c r="B37" s="19" t="str">
        <f>IFERROR(__xludf.DUMMYFUNCTION("""COMPUTED_VALUE"""),"AB_4763_D")</f>
        <v>AB_4763_D</v>
      </c>
      <c r="C37" s="19" t="str">
        <f>IFERROR(__xludf.DUMMYFUNCTION("""COMPUTED_VALUE"""),"BI4763")</f>
        <v>BI4763</v>
      </c>
      <c r="D37" s="19" t="str">
        <f>IFERROR(__xludf.DUMMYFUNCTION("""COMPUTED_VALUE"""),"Arauco Oriente")</f>
        <v>Arauco Oriente</v>
      </c>
      <c r="E37" s="19" t="str">
        <f>IFERROR(__xludf.DUMMYFUNCTION("""COMPUTED_VALUE"""),"DETENIDO TORRERO")</f>
        <v>DETENIDO TORRERO</v>
      </c>
      <c r="F37" s="19"/>
      <c r="G37" s="19" t="str">
        <f>IFERROR(__xludf.DUMMYFUNCTION("""COMPUTED_VALUE"""),"x")</f>
        <v>x</v>
      </c>
      <c r="H37" s="19" t="str">
        <f>IFERROR(__xludf.DUMMYFUNCTION("""COMPUTED_VALUE"""),"x")</f>
        <v>x</v>
      </c>
      <c r="I37" s="19" t="str">
        <f>IFERROR(__xludf.DUMMYFUNCTION("""COMPUTED_VALUE"""),"x")</f>
        <v>x</v>
      </c>
      <c r="J37" s="20" t="str">
        <f>IFERROR(__xludf.DUMMYFUNCTION("""COMPUTED_VALUE"""),"x")</f>
        <v>x</v>
      </c>
      <c r="K37" s="19" t="str">
        <f>IFERROR(__xludf.DUMMYFUNCTION("""COMPUTED_VALUE"""),"x")</f>
        <v>x</v>
      </c>
      <c r="L37" s="20" t="str">
        <f>IFERROR(__xludf.DUMMYFUNCTION("""COMPUTED_VALUE"""),"x")</f>
        <v>x</v>
      </c>
      <c r="M37" s="19" t="str">
        <f>IFERROR(__xludf.DUMMYFUNCTION("""COMPUTED_VALUE"""),"PCM")</f>
        <v>PCM</v>
      </c>
      <c r="N37" s="19" t="str">
        <f>IFERROR(__xludf.DUMMYFUNCTION("""COMPUTED_VALUE"""),"PRIORIDAD 1 Q3 2023 OCTUBRE")</f>
        <v>PRIORIDAD 1 Q3 2023 OCTUBRE</v>
      </c>
    </row>
    <row r="38" ht="15.75" customHeight="1">
      <c r="A38" s="19" t="str">
        <f>IFERROR(__xludf.DUMMYFUNCTION("""COMPUTED_VALUE"""),"AB_10406")</f>
        <v>AB_10406</v>
      </c>
      <c r="B38" s="19" t="str">
        <f>IFERROR(__xludf.DUMMYFUNCTION("""COMPUTED_VALUE"""),"AB_10406_A")</f>
        <v>AB_10406_A</v>
      </c>
      <c r="C38" s="19" t="str">
        <f>IFERROR(__xludf.DUMMYFUNCTION("""COMPUTED_VALUE"""),"AR10406")</f>
        <v>AR10406</v>
      </c>
      <c r="D38" s="19" t="str">
        <f>IFERROR(__xludf.DUMMYFUNCTION("""COMPUTED_VALUE"""),"LLOO Nueva Imperial Sur Poniente")</f>
        <v>LLOO Nueva Imperial Sur Poniente</v>
      </c>
      <c r="E38" s="19" t="str">
        <f>IFERROR(__xludf.DUMMYFUNCTION("""COMPUTED_VALUE"""),"SITIO RFI")</f>
        <v>SITIO RFI</v>
      </c>
      <c r="F38" s="19" t="str">
        <f>IFERROR(__xludf.DUMMYFUNCTION("""COMPUTED_VALUE"""),"RFI")</f>
        <v>RFI</v>
      </c>
      <c r="G38" s="19" t="str">
        <f>IFERROR(__xludf.DUMMYFUNCTION("""COMPUTED_VALUE"""),"CV42")</f>
        <v>CV42</v>
      </c>
      <c r="H38" s="19" t="str">
        <f>IFERROR(__xludf.DUMMYFUNCTION("""COMPUTED_VALUE"""),"SYC")</f>
        <v>SYC</v>
      </c>
      <c r="I38" s="19" t="str">
        <f>IFERROR(__xludf.DUMMYFUNCTION("""COMPUTED_VALUE"""),"Entregada")</f>
        <v>Entregada</v>
      </c>
      <c r="J38" s="20">
        <f>IFERROR(__xludf.DUMMYFUNCTION("""COMPUTED_VALUE"""),44862.0)</f>
        <v>44862</v>
      </c>
      <c r="K38" s="19" t="str">
        <f>IFERROR(__xludf.DUMMYFUNCTION("""COMPUTED_VALUE"""),"Entregada")</f>
        <v>Entregada</v>
      </c>
      <c r="L38" s="20">
        <f>IFERROR(__xludf.DUMMYFUNCTION("""COMPUTED_VALUE"""),44883.0)</f>
        <v>44883</v>
      </c>
      <c r="M38" s="19" t="str">
        <f>IFERROR(__xludf.DUMMYFUNCTION("""COMPUTED_VALUE"""),"LLOO")</f>
        <v>LLOO</v>
      </c>
      <c r="N38" s="19" t="str">
        <f>IFERROR(__xludf.DUMMYFUNCTION("""COMPUTED_VALUE"""),"PRIORIDAD 1 Q3 2023 OCTUBRE")</f>
        <v>PRIORIDAD 1 Q3 2023 OCTUBRE</v>
      </c>
    </row>
    <row r="39" ht="15.75" customHeight="1">
      <c r="A39" s="19" t="str">
        <f>IFERROR(__xludf.DUMMYFUNCTION("""COMPUTED_VALUE"""),"AB_9817")</f>
        <v>AB_9817</v>
      </c>
      <c r="B39" s="19" t="str">
        <f>IFERROR(__xludf.DUMMYFUNCTION("""COMPUTED_VALUE"""),"AB_9817_A")</f>
        <v>AB_9817_A</v>
      </c>
      <c r="C39" s="19" t="str">
        <f>IFERROR(__xludf.DUMMYFUNCTION("""COMPUTED_VALUE"""),"AP9817")</f>
        <v>AP9817</v>
      </c>
      <c r="D39" s="19" t="str">
        <f>IFERROR(__xludf.DUMMYFUNCTION("""COMPUTED_VALUE"""),"Caleta vitor")</f>
        <v>Caleta vitor</v>
      </c>
      <c r="E39" s="19" t="str">
        <f>IFERROR(__xludf.DUMMYFUNCTION("""COMPUTED_VALUE"""),"SITIO CONSTRUIDO")</f>
        <v>SITIO CONSTRUIDO</v>
      </c>
      <c r="F39" s="19" t="str">
        <f>IFERROR(__xludf.DUMMYFUNCTION("""COMPUTED_VALUE"""),"ENFIERRADURA")</f>
        <v>ENFIERRADURA</v>
      </c>
      <c r="G39" s="19" t="str">
        <f>IFERROR(__xludf.DUMMYFUNCTION("""COMPUTED_VALUE"""),"CV42")</f>
        <v>CV42</v>
      </c>
      <c r="H39" s="19" t="str">
        <f>IFERROR(__xludf.DUMMYFUNCTION("""COMPUTED_VALUE"""),"DEPROMET")</f>
        <v>DEPROMET</v>
      </c>
      <c r="I39" s="19" t="str">
        <f>IFERROR(__xludf.DUMMYFUNCTION("""COMPUTED_VALUE"""),"Entregada")</f>
        <v>Entregada</v>
      </c>
      <c r="J39" s="20">
        <f>IFERROR(__xludf.DUMMYFUNCTION("""COMPUTED_VALUE"""),44764.0)</f>
        <v>44764</v>
      </c>
      <c r="K39" s="19" t="str">
        <f>IFERROR(__xludf.DUMMYFUNCTION("""COMPUTED_VALUE"""),"Entregada")</f>
        <v>Entregada</v>
      </c>
      <c r="L39" s="20">
        <f>IFERROR(__xludf.DUMMYFUNCTION("""COMPUTED_VALUE"""),44785.0)</f>
        <v>44785</v>
      </c>
      <c r="M39" s="19" t="str">
        <f>IFERROR(__xludf.DUMMYFUNCTION("""COMPUTED_VALUE"""),"LLOO")</f>
        <v>LLOO</v>
      </c>
      <c r="N39" s="19" t="str">
        <f>IFERROR(__xludf.DUMMYFUNCTION("""COMPUTED_VALUE"""),"PRIORIDAD 2 Q4 2023 DICIEMBRE")</f>
        <v>PRIORIDAD 2 Q4 2023 DICIEMBRE</v>
      </c>
    </row>
    <row r="40" ht="15.75" customHeight="1">
      <c r="A40" s="19" t="str">
        <f>IFERROR(__xludf.DUMMYFUNCTION("""COMPUTED_VALUE"""),"AB_10409")</f>
        <v>AB_10409</v>
      </c>
      <c r="B40" s="19" t="str">
        <f>IFERROR(__xludf.DUMMYFUNCTION("""COMPUTED_VALUE"""),"AB_10409_A")</f>
        <v>AB_10409_A</v>
      </c>
      <c r="C40" s="19" t="str">
        <f>IFERROR(__xludf.DUMMYFUNCTION("""COMPUTED_VALUE"""),"AR10409")</f>
        <v>AR10409</v>
      </c>
      <c r="D40" s="19" t="str">
        <f>IFERROR(__xludf.DUMMYFUNCTION("""COMPUTED_VALUE"""),"LLOO Lonquimay Acceso Oriente")</f>
        <v>LLOO Lonquimay Acceso Oriente</v>
      </c>
      <c r="E40" s="19" t="str">
        <f>IFERROR(__xludf.DUMMYFUNCTION("""COMPUTED_VALUE"""),"SITIO RFI")</f>
        <v>SITIO RFI</v>
      </c>
      <c r="F40" s="19" t="str">
        <f>IFERROR(__xludf.DUMMYFUNCTION("""COMPUTED_VALUE"""),"RFI")</f>
        <v>RFI</v>
      </c>
      <c r="G40" s="19" t="str">
        <f>IFERROR(__xludf.DUMMYFUNCTION("""COMPUTED_VALUE"""),"AS48")</f>
        <v>AS48</v>
      </c>
      <c r="H40" s="19" t="str">
        <f>IFERROR(__xludf.DUMMYFUNCTION("""COMPUTED_VALUE"""),"ADM")</f>
        <v>ADM</v>
      </c>
      <c r="I40" s="19" t="str">
        <f>IFERROR(__xludf.DUMMYFUNCTION("""COMPUTED_VALUE"""),"Entregada")</f>
        <v>Entregada</v>
      </c>
      <c r="J40" s="20">
        <f>IFERROR(__xludf.DUMMYFUNCTION("""COMPUTED_VALUE"""),44750.0)</f>
        <v>44750</v>
      </c>
      <c r="K40" s="19" t="str">
        <f>IFERROR(__xludf.DUMMYFUNCTION("""COMPUTED_VALUE"""),"Entregada")</f>
        <v>Entregada</v>
      </c>
      <c r="L40" s="20">
        <f>IFERROR(__xludf.DUMMYFUNCTION("""COMPUTED_VALUE"""),44785.0)</f>
        <v>44785</v>
      </c>
      <c r="M40" s="19" t="str">
        <f>IFERROR(__xludf.DUMMYFUNCTION("""COMPUTED_VALUE"""),"LLOO")</f>
        <v>LLOO</v>
      </c>
      <c r="N40" s="19" t="str">
        <f>IFERROR(__xludf.DUMMYFUNCTION("""COMPUTED_VALUE"""),"PRIORIDAD 1 Q3 2023 OCTUBRE")</f>
        <v>PRIORIDAD 1 Q3 2023 OCTUBRE</v>
      </c>
    </row>
    <row r="41" ht="15.75" customHeight="1">
      <c r="A41" s="19" t="str">
        <f>IFERROR(__xludf.DUMMYFUNCTION("""COMPUTED_VALUE"""),"AB_9880")</f>
        <v>AB_9880</v>
      </c>
      <c r="B41" s="19" t="str">
        <f>IFERROR(__xludf.DUMMYFUNCTION("""COMPUTED_VALUE"""),"AB_9880_A")</f>
        <v>AB_9880_A</v>
      </c>
      <c r="C41" s="19" t="str">
        <f>IFERROR(__xludf.DUMMYFUNCTION("""COMPUTED_VALUE"""),"LR9880")</f>
        <v>LR9880</v>
      </c>
      <c r="D41" s="19" t="str">
        <f>IFERROR(__xludf.DUMMYFUNCTION("""COMPUTED_VALUE"""),"LLOO Cumuleufu")</f>
        <v>LLOO Cumuleufu</v>
      </c>
      <c r="E41" s="19" t="str">
        <f>IFERROR(__xludf.DUMMYFUNCTION("""COMPUTED_VALUE"""),"SITIO RFI")</f>
        <v>SITIO RFI</v>
      </c>
      <c r="F41" s="19" t="str">
        <f>IFERROR(__xludf.DUMMYFUNCTION("""COMPUTED_VALUE"""),"RFI")</f>
        <v>RFI</v>
      </c>
      <c r="G41" s="19" t="str">
        <f>IFERROR(__xludf.DUMMYFUNCTION("""COMPUTED_VALUE"""),"CV60")</f>
        <v>CV60</v>
      </c>
      <c r="H41" s="19" t="str">
        <f>IFERROR(__xludf.DUMMYFUNCTION("""COMPUTED_VALUE"""),"DEPROMET")</f>
        <v>DEPROMET</v>
      </c>
      <c r="I41" s="19" t="str">
        <f>IFERROR(__xludf.DUMMYFUNCTION("""COMPUTED_VALUE"""),"Entregada")</f>
        <v>Entregada</v>
      </c>
      <c r="J41" s="20">
        <f>IFERROR(__xludf.DUMMYFUNCTION("""COMPUTED_VALUE"""),44893.0)</f>
        <v>44893</v>
      </c>
      <c r="K41" s="19" t="str">
        <f>IFERROR(__xludf.DUMMYFUNCTION("""COMPUTED_VALUE"""),"Entregada")</f>
        <v>Entregada</v>
      </c>
      <c r="L41" s="20">
        <f>IFERROR(__xludf.DUMMYFUNCTION("""COMPUTED_VALUE"""),44911.0)</f>
        <v>44911</v>
      </c>
      <c r="M41" s="19" t="str">
        <f>IFERROR(__xludf.DUMMYFUNCTION("""COMPUTED_VALUE"""),"LLOO")</f>
        <v>LLOO</v>
      </c>
      <c r="N41" s="19" t="str">
        <f>IFERROR(__xludf.DUMMYFUNCTION("""COMPUTED_VALUE"""),"PRIORIDAD 1 Q3 2023 OCTUBRE")</f>
        <v>PRIORIDAD 1 Q3 2023 OCTUBRE</v>
      </c>
    </row>
    <row r="42" ht="15.75" customHeight="1">
      <c r="A42" s="19" t="str">
        <f>IFERROR(__xludf.DUMMYFUNCTION("""COMPUTED_VALUE"""),"AB_10411")</f>
        <v>AB_10411</v>
      </c>
      <c r="B42" s="19" t="str">
        <f>IFERROR(__xludf.DUMMYFUNCTION("""COMPUTED_VALUE"""),"AB_10411_A")</f>
        <v>AB_10411_A</v>
      </c>
      <c r="C42" s="19" t="str">
        <f>IFERROR(__xludf.DUMMYFUNCTION("""COMPUTED_VALUE"""),"AR10411")</f>
        <v>AR10411</v>
      </c>
      <c r="D42" s="19" t="str">
        <f>IFERROR(__xludf.DUMMYFUNCTION("""COMPUTED_VALUE"""),"LLOO Country Club Pucon")</f>
        <v>LLOO Country Club Pucon</v>
      </c>
      <c r="E42" s="19" t="str">
        <f>IFERROR(__xludf.DUMMYFUNCTION("""COMPUTED_VALUE"""),"SITIO RFI")</f>
        <v>SITIO RFI</v>
      </c>
      <c r="F42" s="19" t="str">
        <f>IFERROR(__xludf.DUMMYFUNCTION("""COMPUTED_VALUE"""),"RFI")</f>
        <v>RFI</v>
      </c>
      <c r="G42" s="19" t="str">
        <f>IFERROR(__xludf.DUMMYFUNCTION("""COMPUTED_VALUE"""),"CV48")</f>
        <v>CV48</v>
      </c>
      <c r="H42" s="19" t="str">
        <f>IFERROR(__xludf.DUMMYFUNCTION("""COMPUTED_VALUE"""),"JTI")</f>
        <v>JTI</v>
      </c>
      <c r="I42" s="19" t="str">
        <f>IFERROR(__xludf.DUMMYFUNCTION("""COMPUTED_VALUE"""),"Entregada")</f>
        <v>Entregada</v>
      </c>
      <c r="J42" s="20">
        <f>IFERROR(__xludf.DUMMYFUNCTION("""COMPUTED_VALUE"""),44736.0)</f>
        <v>44736</v>
      </c>
      <c r="K42" s="19" t="str">
        <f>IFERROR(__xludf.DUMMYFUNCTION("""COMPUTED_VALUE"""),"Entregada")</f>
        <v>Entregada</v>
      </c>
      <c r="L42" s="20">
        <f>IFERROR(__xludf.DUMMYFUNCTION("""COMPUTED_VALUE"""),44894.0)</f>
        <v>44894</v>
      </c>
      <c r="M42" s="19" t="str">
        <f>IFERROR(__xludf.DUMMYFUNCTION("""COMPUTED_VALUE"""),"LLOO")</f>
        <v>LLOO</v>
      </c>
      <c r="N42" s="19" t="str">
        <f>IFERROR(__xludf.DUMMYFUNCTION("""COMPUTED_VALUE"""),"PRIORIDAD 1 Q3 2023 OCTUBRE")</f>
        <v>PRIORIDAD 1 Q3 2023 OCTUBRE</v>
      </c>
    </row>
    <row r="43" ht="15.75" customHeight="1">
      <c r="A43" s="19" t="str">
        <f>IFERROR(__xludf.DUMMYFUNCTION("""COMPUTED_VALUE"""),"AB_10412")</f>
        <v>AB_10412</v>
      </c>
      <c r="B43" s="19" t="str">
        <f>IFERROR(__xludf.DUMMYFUNCTION("""COMPUTED_VALUE"""),"AB_10412_C")</f>
        <v>AB_10412_C</v>
      </c>
      <c r="C43" s="19" t="str">
        <f>IFERROR(__xludf.DUMMYFUNCTION("""COMPUTED_VALUE"""),"AR10412")</f>
        <v>AR10412</v>
      </c>
      <c r="D43" s="19" t="str">
        <f>IFERROR(__xludf.DUMMYFUNCTION("""COMPUTED_VALUE"""),"LLOO Ojos de Caburga")</f>
        <v>LLOO Ojos de Caburga</v>
      </c>
      <c r="E43" s="19" t="str">
        <f>IFERROR(__xludf.DUMMYFUNCTION("""COMPUTED_VALUE"""),"SITIO RFI")</f>
        <v>SITIO RFI</v>
      </c>
      <c r="F43" s="19" t="str">
        <f>IFERROR(__xludf.DUMMYFUNCTION("""COMPUTED_VALUE"""),"RFI")</f>
        <v>RFI</v>
      </c>
      <c r="G43" s="19" t="str">
        <f>IFERROR(__xludf.DUMMYFUNCTION("""COMPUTED_VALUE"""),"CV60")</f>
        <v>CV60</v>
      </c>
      <c r="H43" s="19" t="str">
        <f>IFERROR(__xludf.DUMMYFUNCTION("""COMPUTED_VALUE"""),"DEPROMET")</f>
        <v>DEPROMET</v>
      </c>
      <c r="I43" s="19" t="str">
        <f>IFERROR(__xludf.DUMMYFUNCTION("""COMPUTED_VALUE"""),"Entregada")</f>
        <v>Entregada</v>
      </c>
      <c r="J43" s="20">
        <f>IFERROR(__xludf.DUMMYFUNCTION("""COMPUTED_VALUE"""),44839.0)</f>
        <v>44839</v>
      </c>
      <c r="K43" s="19" t="str">
        <f>IFERROR(__xludf.DUMMYFUNCTION("""COMPUTED_VALUE"""),"Entregada")</f>
        <v>Entregada</v>
      </c>
      <c r="L43" s="20">
        <f>IFERROR(__xludf.DUMMYFUNCTION("""COMPUTED_VALUE"""),44847.0)</f>
        <v>44847</v>
      </c>
      <c r="M43" s="19" t="str">
        <f>IFERROR(__xludf.DUMMYFUNCTION("""COMPUTED_VALUE"""),"LLOO")</f>
        <v>LLOO</v>
      </c>
      <c r="N43" s="19" t="str">
        <f>IFERROR(__xludf.DUMMYFUNCTION("""COMPUTED_VALUE"""),"PRIORIDAD 1 Q3 2023 OCTUBRE")</f>
        <v>PRIORIDAD 1 Q3 2023 OCTUBRE</v>
      </c>
    </row>
    <row r="44" ht="15.75" customHeight="1">
      <c r="A44" s="19" t="str">
        <f>IFERROR(__xludf.DUMMYFUNCTION("""COMPUTED_VALUE"""),"AB_9827")</f>
        <v>AB_9827</v>
      </c>
      <c r="B44" s="19" t="str">
        <f>IFERROR(__xludf.DUMMYFUNCTION("""COMPUTED_VALUE"""),"AB_9827_D")</f>
        <v>AB_9827_D</v>
      </c>
      <c r="C44" s="19" t="str">
        <f>IFERROR(__xludf.DUMMYFUNCTION("""COMPUTED_VALUE"""),"AP9827")</f>
        <v>AP9827</v>
      </c>
      <c r="D44" s="19" t="str">
        <f>IFERROR(__xludf.DUMMYFUNCTION("""COMPUTED_VALUE"""),"Caquena")</f>
        <v>Caquena</v>
      </c>
      <c r="E44" s="19" t="str">
        <f>IFERROR(__xludf.DUMMYFUNCTION("""COMPUTED_VALUE"""),"SITIO CONSTRUIDO")</f>
        <v>SITIO CONSTRUIDO</v>
      </c>
      <c r="F44" s="19" t="str">
        <f>IFERROR(__xludf.DUMMYFUNCTION("""COMPUTED_VALUE"""),"EXCAVACION")</f>
        <v>EXCAVACION</v>
      </c>
      <c r="G44" s="19" t="str">
        <f>IFERROR(__xludf.DUMMYFUNCTION("""COMPUTED_VALUE"""),"AS60")</f>
        <v>AS60</v>
      </c>
      <c r="H44" s="19" t="str">
        <f>IFERROR(__xludf.DUMMYFUNCTION("""COMPUTED_VALUE"""),"JTI")</f>
        <v>JTI</v>
      </c>
      <c r="I44" s="19" t="str">
        <f>IFERROR(__xludf.DUMMYFUNCTION("""COMPUTED_VALUE"""),"Terminada")</f>
        <v>Terminada</v>
      </c>
      <c r="J44" s="20">
        <f>IFERROR(__xludf.DUMMYFUNCTION("""COMPUTED_VALUE"""),45034.0)</f>
        <v>45034</v>
      </c>
      <c r="K44" s="19" t="str">
        <f>IFERROR(__xludf.DUMMYFUNCTION("""COMPUTED_VALUE"""),"Por pintar ")</f>
        <v>Por pintar </v>
      </c>
      <c r="L44" s="20">
        <f>IFERROR(__xludf.DUMMYFUNCTION("""COMPUTED_VALUE"""),45044.0)</f>
        <v>45044</v>
      </c>
      <c r="M44" s="19" t="str">
        <f>IFERROR(__xludf.DUMMYFUNCTION("""COMPUTED_VALUE"""),"LLOO")</f>
        <v>LLOO</v>
      </c>
      <c r="N44" s="19" t="str">
        <f>IFERROR(__xludf.DUMMYFUNCTION("""COMPUTED_VALUE"""),"PRIORIDAD 1 Q3 2023 OCTUBRE")</f>
        <v>PRIORIDAD 1 Q3 2023 OCTUBRE</v>
      </c>
    </row>
    <row r="45" ht="15.75" customHeight="1">
      <c r="A45" s="19" t="str">
        <f>IFERROR(__xludf.DUMMYFUNCTION("""COMPUTED_VALUE"""),"AB_10414")</f>
        <v>AB_10414</v>
      </c>
      <c r="B45" s="19" t="str">
        <f>IFERROR(__xludf.DUMMYFUNCTION("""COMPUTED_VALUE"""),"AB_10414_B")</f>
        <v>AB_10414_B</v>
      </c>
      <c r="C45" s="19" t="str">
        <f>IFERROR(__xludf.DUMMYFUNCTION("""COMPUTED_VALUE"""),"AR10414")</f>
        <v>AR10414</v>
      </c>
      <c r="D45" s="19" t="str">
        <f>IFERROR(__xludf.DUMMYFUNCTION("""COMPUTED_VALUE"""),"LLOO Galvarino Cerro")</f>
        <v>LLOO Galvarino Cerro</v>
      </c>
      <c r="E45" s="19" t="str">
        <f>IFERROR(__xludf.DUMMYFUNCTION("""COMPUTED_VALUE"""),"SITIO RFI")</f>
        <v>SITIO RFI</v>
      </c>
      <c r="F45" s="19" t="str">
        <f>IFERROR(__xludf.DUMMYFUNCTION("""COMPUTED_VALUE"""),"RFI")</f>
        <v>RFI</v>
      </c>
      <c r="G45" s="19" t="str">
        <f>IFERROR(__xludf.DUMMYFUNCTION("""COMPUTED_VALUE"""),"CV54")</f>
        <v>CV54</v>
      </c>
      <c r="H45" s="19" t="str">
        <f>IFERROR(__xludf.DUMMYFUNCTION("""COMPUTED_VALUE"""),"DEITEL")</f>
        <v>DEITEL</v>
      </c>
      <c r="I45" s="19" t="str">
        <f>IFERROR(__xludf.DUMMYFUNCTION("""COMPUTED_VALUE"""),"Entregada")</f>
        <v>Entregada</v>
      </c>
      <c r="J45" s="20">
        <f>IFERROR(__xludf.DUMMYFUNCTION("""COMPUTED_VALUE"""),44876.0)</f>
        <v>44876</v>
      </c>
      <c r="K45" s="19" t="str">
        <f>IFERROR(__xludf.DUMMYFUNCTION("""COMPUTED_VALUE"""),"Entregada")</f>
        <v>Entregada</v>
      </c>
      <c r="L45" s="20">
        <f>IFERROR(__xludf.DUMMYFUNCTION("""COMPUTED_VALUE"""),44898.0)</f>
        <v>44898</v>
      </c>
      <c r="M45" s="19" t="str">
        <f>IFERROR(__xludf.DUMMYFUNCTION("""COMPUTED_VALUE"""),"LLOO")</f>
        <v>LLOO</v>
      </c>
      <c r="N45" s="19" t="str">
        <f>IFERROR(__xludf.DUMMYFUNCTION("""COMPUTED_VALUE"""),"PRIORIDAD 1 Q3 2023 OCTUBRE")</f>
        <v>PRIORIDAD 1 Q3 2023 OCTUBRE</v>
      </c>
    </row>
    <row r="46" ht="15.75" customHeight="1">
      <c r="A46" s="19" t="str">
        <f>IFERROR(__xludf.DUMMYFUNCTION("""COMPUTED_VALUE"""),"AB_10415")</f>
        <v>AB_10415</v>
      </c>
      <c r="B46" s="19" t="str">
        <f>IFERROR(__xludf.DUMMYFUNCTION("""COMPUTED_VALUE"""),"AB_10415_C")</f>
        <v>AB_10415_C</v>
      </c>
      <c r="C46" s="19" t="str">
        <f>IFERROR(__xludf.DUMMYFUNCTION("""COMPUTED_VALUE"""),"AR10415")</f>
        <v>AR10415</v>
      </c>
      <c r="D46" s="19" t="str">
        <f>IFERROR(__xludf.DUMMYFUNCTION("""COMPUTED_VALUE"""),"LLOO Freire Norte")</f>
        <v>LLOO Freire Norte</v>
      </c>
      <c r="E46" s="19" t="str">
        <f>IFERROR(__xludf.DUMMYFUNCTION("""COMPUTED_VALUE"""),"SITIO RFI")</f>
        <v>SITIO RFI</v>
      </c>
      <c r="F46" s="19" t="str">
        <f>IFERROR(__xludf.DUMMYFUNCTION("""COMPUTED_VALUE"""),"RFI")</f>
        <v>RFI</v>
      </c>
      <c r="G46" s="19" t="str">
        <f>IFERROR(__xludf.DUMMYFUNCTION("""COMPUTED_VALUE"""),"CV54")</f>
        <v>CV54</v>
      </c>
      <c r="H46" s="19" t="str">
        <f>IFERROR(__xludf.DUMMYFUNCTION("""COMPUTED_VALUE"""),"DEITEL")</f>
        <v>DEITEL</v>
      </c>
      <c r="I46" s="19" t="str">
        <f>IFERROR(__xludf.DUMMYFUNCTION("""COMPUTED_VALUE"""),"Entregada")</f>
        <v>Entregada</v>
      </c>
      <c r="J46" s="20">
        <f>IFERROR(__xludf.DUMMYFUNCTION("""COMPUTED_VALUE"""),44876.0)</f>
        <v>44876</v>
      </c>
      <c r="K46" s="19" t="str">
        <f>IFERROR(__xludf.DUMMYFUNCTION("""COMPUTED_VALUE"""),"Entregada")</f>
        <v>Entregada</v>
      </c>
      <c r="L46" s="20">
        <f>IFERROR(__xludf.DUMMYFUNCTION("""COMPUTED_VALUE"""),44898.0)</f>
        <v>44898</v>
      </c>
      <c r="M46" s="19" t="str">
        <f>IFERROR(__xludf.DUMMYFUNCTION("""COMPUTED_VALUE"""),"LLOO")</f>
        <v>LLOO</v>
      </c>
      <c r="N46" s="19" t="str">
        <f>IFERROR(__xludf.DUMMYFUNCTION("""COMPUTED_VALUE"""),"PRIORIDAD 1 Q3 2023 OCTUBRE")</f>
        <v>PRIORIDAD 1 Q3 2023 OCTUBRE</v>
      </c>
    </row>
    <row r="47" ht="15.75" customHeight="1">
      <c r="A47" s="19" t="str">
        <f>IFERROR(__xludf.DUMMYFUNCTION("""COMPUTED_VALUE"""),"AB_10416")</f>
        <v>AB_10416</v>
      </c>
      <c r="B47" s="19" t="str">
        <f>IFERROR(__xludf.DUMMYFUNCTION("""COMPUTED_VALUE"""),"AB_10416_A")</f>
        <v>AB_10416_A</v>
      </c>
      <c r="C47" s="19" t="str">
        <f>IFERROR(__xludf.DUMMYFUNCTION("""COMPUTED_VALUE"""),"AR10416")</f>
        <v>AR10416</v>
      </c>
      <c r="D47" s="19" t="str">
        <f>IFERROR(__xludf.DUMMYFUNCTION("""COMPUTED_VALUE"""),"LLOO Termas de Quimeyco")</f>
        <v>LLOO Termas de Quimeyco</v>
      </c>
      <c r="E47" s="19" t="str">
        <f>IFERROR(__xludf.DUMMYFUNCTION("""COMPUTED_VALUE"""),"SITIO RFI")</f>
        <v>SITIO RFI</v>
      </c>
      <c r="F47" s="19" t="str">
        <f>IFERROR(__xludf.DUMMYFUNCTION("""COMPUTED_VALUE"""),"RFI")</f>
        <v>RFI</v>
      </c>
      <c r="G47" s="19" t="str">
        <f>IFERROR(__xludf.DUMMYFUNCTION("""COMPUTED_VALUE"""),"AS48 (H)")</f>
        <v>AS48 (H)</v>
      </c>
      <c r="H47" s="19" t="str">
        <f>IFERROR(__xludf.DUMMYFUNCTION("""COMPUTED_VALUE"""),"MER")</f>
        <v>MER</v>
      </c>
      <c r="I47" s="19" t="str">
        <f>IFERROR(__xludf.DUMMYFUNCTION("""COMPUTED_VALUE"""),"Entregada")</f>
        <v>Entregada</v>
      </c>
      <c r="J47" s="20">
        <f>IFERROR(__xludf.DUMMYFUNCTION("""COMPUTED_VALUE"""),44881.0)</f>
        <v>44881</v>
      </c>
      <c r="K47" s="19" t="str">
        <f>IFERROR(__xludf.DUMMYFUNCTION("""COMPUTED_VALUE"""),"Entregada")</f>
        <v>Entregada</v>
      </c>
      <c r="L47" s="20">
        <f>IFERROR(__xludf.DUMMYFUNCTION("""COMPUTED_VALUE"""),44887.0)</f>
        <v>44887</v>
      </c>
      <c r="M47" s="19" t="str">
        <f>IFERROR(__xludf.DUMMYFUNCTION("""COMPUTED_VALUE"""),"LLOO")</f>
        <v>LLOO</v>
      </c>
      <c r="N47" s="19" t="str">
        <f>IFERROR(__xludf.DUMMYFUNCTION("""COMPUTED_VALUE"""),"PRIORIDAD 1 Q3 2023 OCTUBRE")</f>
        <v>PRIORIDAD 1 Q3 2023 OCTUBRE</v>
      </c>
    </row>
    <row r="48" ht="15.75" customHeight="1">
      <c r="A48" s="19" t="str">
        <f>IFERROR(__xludf.DUMMYFUNCTION("""COMPUTED_VALUE"""),"AB_10401")</f>
        <v>AB_10401</v>
      </c>
      <c r="B48" s="19" t="str">
        <f>IFERROR(__xludf.DUMMYFUNCTION("""COMPUTED_VALUE"""),"AB_10401_D")</f>
        <v>AB_10401_D</v>
      </c>
      <c r="C48" s="19" t="str">
        <f>IFERROR(__xludf.DUMMYFUNCTION("""COMPUTED_VALUE"""),"AR10401")</f>
        <v>AR10401</v>
      </c>
      <c r="D48" s="19" t="str">
        <f>IFERROR(__xludf.DUMMYFUNCTION("""COMPUTED_VALUE"""),"LLOO Carahue Sur")</f>
        <v>LLOO Carahue Sur</v>
      </c>
      <c r="E48" s="19" t="str">
        <f>IFERROR(__xludf.DUMMYFUNCTION("""COMPUTED_VALUE"""),"DETENIDO REGULACION")</f>
        <v>DETENIDO REGULACION</v>
      </c>
      <c r="F48" s="19" t="str">
        <f>IFERROR(__xludf.DUMMYFUNCTION("""COMPUTED_VALUE"""),"VISITA")</f>
        <v>VISITA</v>
      </c>
      <c r="G48" s="19" t="str">
        <f>IFERROR(__xludf.DUMMYFUNCTION("""COMPUTED_VALUE"""),"AS42")</f>
        <v>AS42</v>
      </c>
      <c r="H48" s="19" t="str">
        <f>IFERROR(__xludf.DUMMYFUNCTION("""COMPUTED_VALUE"""),"COMPRAS")</f>
        <v>COMPRAS</v>
      </c>
      <c r="I48" s="19"/>
      <c r="J48" s="19"/>
      <c r="K48" s="19"/>
      <c r="L48" s="19"/>
      <c r="M48" s="19" t="str">
        <f>IFERROR(__xludf.DUMMYFUNCTION("""COMPUTED_VALUE"""),"LLOO")</f>
        <v>LLOO</v>
      </c>
      <c r="N48" s="19" t="str">
        <f>IFERROR(__xludf.DUMMYFUNCTION("""COMPUTED_VALUE"""),"PRIORIDAD 3 Q1 2024 MARZO")</f>
        <v>PRIORIDAD 3 Q1 2024 MARZO</v>
      </c>
    </row>
    <row r="49" ht="15.75" customHeight="1">
      <c r="A49" s="19" t="str">
        <f>IFERROR(__xludf.DUMMYFUNCTION("""COMPUTED_VALUE"""),"AB_10405")</f>
        <v>AB_10405</v>
      </c>
      <c r="B49" s="19" t="str">
        <f>IFERROR(__xludf.DUMMYFUNCTION("""COMPUTED_VALUE"""),"AB_10405_E")</f>
        <v>AB_10405_E</v>
      </c>
      <c r="C49" s="19" t="str">
        <f>IFERROR(__xludf.DUMMYFUNCTION("""COMPUTED_VALUE"""),"AR10405")</f>
        <v>AR10405</v>
      </c>
      <c r="D49" s="19" t="str">
        <f>IFERROR(__xludf.DUMMYFUNCTION("""COMPUTED_VALUE"""),"LLOO San Patricio")</f>
        <v>LLOO San Patricio</v>
      </c>
      <c r="E49" s="19" t="str">
        <f>IFERROR(__xludf.DUMMYFUNCTION("""COMPUTED_VALUE"""),"SITIO RFI")</f>
        <v>SITIO RFI</v>
      </c>
      <c r="F49" s="19" t="str">
        <f>IFERROR(__xludf.DUMMYFUNCTION("""COMPUTED_VALUE"""),"RFI")</f>
        <v>RFI</v>
      </c>
      <c r="G49" s="19" t="str">
        <f>IFERROR(__xludf.DUMMYFUNCTION("""COMPUTED_VALUE"""),"AS60")</f>
        <v>AS60</v>
      </c>
      <c r="H49" s="19" t="str">
        <f>IFERROR(__xludf.DUMMYFUNCTION("""COMPUTED_VALUE"""),"MER")</f>
        <v>MER</v>
      </c>
      <c r="I49" s="19" t="str">
        <f>IFERROR(__xludf.DUMMYFUNCTION("""COMPUTED_VALUE"""),"Entregada")</f>
        <v>Entregada</v>
      </c>
      <c r="J49" s="20">
        <f>IFERROR(__xludf.DUMMYFUNCTION("""COMPUTED_VALUE"""),44881.0)</f>
        <v>44881</v>
      </c>
      <c r="K49" s="19" t="str">
        <f>IFERROR(__xludf.DUMMYFUNCTION("""COMPUTED_VALUE"""),"Entregada")</f>
        <v>Entregada</v>
      </c>
      <c r="L49" s="20">
        <f>IFERROR(__xludf.DUMMYFUNCTION("""COMPUTED_VALUE"""),44890.0)</f>
        <v>44890</v>
      </c>
      <c r="M49" s="19" t="str">
        <f>IFERROR(__xludf.DUMMYFUNCTION("""COMPUTED_VALUE"""),"LLOO")</f>
        <v>LLOO</v>
      </c>
      <c r="N49" s="19" t="str">
        <f>IFERROR(__xludf.DUMMYFUNCTION("""COMPUTED_VALUE"""),"PRIORIDAD 1 Q3 2023 OCTUBRE")</f>
        <v>PRIORIDAD 1 Q3 2023 OCTUBRE</v>
      </c>
    </row>
    <row r="50" ht="15.75" customHeight="1">
      <c r="A50" s="19" t="str">
        <f>IFERROR(__xludf.DUMMYFUNCTION("""COMPUTED_VALUE"""),"AB_10419")</f>
        <v>AB_10419</v>
      </c>
      <c r="B50" s="19" t="str">
        <f>IFERROR(__xludf.DUMMYFUNCTION("""COMPUTED_VALUE"""),"AB_10419_A")</f>
        <v>AB_10419_A</v>
      </c>
      <c r="C50" s="19" t="str">
        <f>IFERROR(__xludf.DUMMYFUNCTION("""COMPUTED_VALUE"""),"AR10419")</f>
        <v>AR10419</v>
      </c>
      <c r="D50" s="19" t="str">
        <f>IFERROR(__xludf.DUMMYFUNCTION("""COMPUTED_VALUE"""),"LLOO Chochol - Temuco")</f>
        <v>LLOO Chochol - Temuco</v>
      </c>
      <c r="E50" s="19" t="str">
        <f>IFERROR(__xludf.DUMMYFUNCTION("""COMPUTED_VALUE"""),"SITIO RFI")</f>
        <v>SITIO RFI</v>
      </c>
      <c r="F50" s="19" t="str">
        <f>IFERROR(__xludf.DUMMYFUNCTION("""COMPUTED_VALUE"""),"RFI")</f>
        <v>RFI</v>
      </c>
      <c r="G50" s="19" t="str">
        <f>IFERROR(__xludf.DUMMYFUNCTION("""COMPUTED_VALUE"""),"CV48")</f>
        <v>CV48</v>
      </c>
      <c r="H50" s="19" t="str">
        <f>IFERROR(__xludf.DUMMYFUNCTION("""COMPUTED_VALUE"""),"DEITEL")</f>
        <v>DEITEL</v>
      </c>
      <c r="I50" s="19" t="str">
        <f>IFERROR(__xludf.DUMMYFUNCTION("""COMPUTED_VALUE"""),"Entregada")</f>
        <v>Entregada</v>
      </c>
      <c r="J50" s="20">
        <f>IFERROR(__xludf.DUMMYFUNCTION("""COMPUTED_VALUE"""),44862.0)</f>
        <v>44862</v>
      </c>
      <c r="K50" s="19" t="str">
        <f>IFERROR(__xludf.DUMMYFUNCTION("""COMPUTED_VALUE"""),"Entregada")</f>
        <v>Entregada</v>
      </c>
      <c r="L50" s="20">
        <f>IFERROR(__xludf.DUMMYFUNCTION("""COMPUTED_VALUE"""),44883.0)</f>
        <v>44883</v>
      </c>
      <c r="M50" s="19" t="str">
        <f>IFERROR(__xludf.DUMMYFUNCTION("""COMPUTED_VALUE"""),"LLOO")</f>
        <v>LLOO</v>
      </c>
      <c r="N50" s="19" t="str">
        <f>IFERROR(__xludf.DUMMYFUNCTION("""COMPUTED_VALUE"""),"PRIORIDAD 1 Q3 2023 OCTUBRE")</f>
        <v>PRIORIDAD 1 Q3 2023 OCTUBRE</v>
      </c>
    </row>
    <row r="51" ht="15.75" customHeight="1">
      <c r="A51" s="19" t="str">
        <f>IFERROR(__xludf.DUMMYFUNCTION("""COMPUTED_VALUE"""),"AB_10407")</f>
        <v>AB_10407</v>
      </c>
      <c r="B51" s="19" t="str">
        <f>IFERROR(__xludf.DUMMYFUNCTION("""COMPUTED_VALUE"""),"AB_10407_B")</f>
        <v>AB_10407_B</v>
      </c>
      <c r="C51" s="19" t="str">
        <f>IFERROR(__xludf.DUMMYFUNCTION("""COMPUTED_VALUE"""),"AR10407")</f>
        <v>AR10407</v>
      </c>
      <c r="D51" s="19" t="str">
        <f>IFERROR(__xludf.DUMMYFUNCTION("""COMPUTED_VALUE"""),"LLOO Carahue Cerro")</f>
        <v>LLOO Carahue Cerro</v>
      </c>
      <c r="E51" s="19" t="str">
        <f>IFERROR(__xludf.DUMMYFUNCTION("""COMPUTED_VALUE"""),"SITIO CONSTRUIDO")</f>
        <v>SITIO CONSTRUIDO</v>
      </c>
      <c r="F51" s="19" t="str">
        <f>IFERROR(__xludf.DUMMYFUNCTION("""COMPUTED_VALUE"""),"ENFIERRADURA")</f>
        <v>ENFIERRADURA</v>
      </c>
      <c r="G51" s="19" t="str">
        <f>IFERROR(__xludf.DUMMYFUNCTION("""COMPUTED_VALUE"""),"CV60")</f>
        <v>CV60</v>
      </c>
      <c r="H51" s="19" t="str">
        <f>IFERROR(__xludf.DUMMYFUNCTION("""COMPUTED_VALUE"""),"DEPROMET")</f>
        <v>DEPROMET</v>
      </c>
      <c r="I51" s="19" t="str">
        <f>IFERROR(__xludf.DUMMYFUNCTION("""COMPUTED_VALUE"""),"Entregada")</f>
        <v>Entregada</v>
      </c>
      <c r="J51" s="20">
        <f>IFERROR(__xludf.DUMMYFUNCTION("""COMPUTED_VALUE"""),44839.0)</f>
        <v>44839</v>
      </c>
      <c r="K51" s="19" t="str">
        <f>IFERROR(__xludf.DUMMYFUNCTION("""COMPUTED_VALUE"""),"Entregada")</f>
        <v>Entregada</v>
      </c>
      <c r="L51" s="20">
        <f>IFERROR(__xludf.DUMMYFUNCTION("""COMPUTED_VALUE"""),44861.0)</f>
        <v>44861</v>
      </c>
      <c r="M51" s="19" t="str">
        <f>IFERROR(__xludf.DUMMYFUNCTION("""COMPUTED_VALUE"""),"LLOO")</f>
        <v>LLOO</v>
      </c>
      <c r="N51" s="19" t="str">
        <f>IFERROR(__xludf.DUMMYFUNCTION("""COMPUTED_VALUE"""),"PRIORIDAD 1 Q3 2023 OCTUBRE")</f>
        <v>PRIORIDAD 1 Q3 2023 OCTUBRE</v>
      </c>
    </row>
    <row r="52" ht="15.75" customHeight="1">
      <c r="A52" s="19" t="str">
        <f>IFERROR(__xludf.DUMMYFUNCTION("""COMPUTED_VALUE"""),"AB_10421")</f>
        <v>AB_10421</v>
      </c>
      <c r="B52" s="19" t="str">
        <f>IFERROR(__xludf.DUMMYFUNCTION("""COMPUTED_VALUE"""),"AB_10421_A")</f>
        <v>AB_10421_A</v>
      </c>
      <c r="C52" s="19" t="str">
        <f>IFERROR(__xludf.DUMMYFUNCTION("""COMPUTED_VALUE"""),"AR10421")</f>
        <v>AR10421</v>
      </c>
      <c r="D52" s="19" t="str">
        <f>IFERROR(__xludf.DUMMYFUNCTION("""COMPUTED_VALUE"""),"LLOO Nueva Imperial Ruta Sur")</f>
        <v>LLOO Nueva Imperial Ruta Sur</v>
      </c>
      <c r="E52" s="19" t="str">
        <f>IFERROR(__xludf.DUMMYFUNCTION("""COMPUTED_VALUE"""),"SITIO RFI")</f>
        <v>SITIO RFI</v>
      </c>
      <c r="F52" s="19" t="str">
        <f>IFERROR(__xludf.DUMMYFUNCTION("""COMPUTED_VALUE"""),"RFI")</f>
        <v>RFI</v>
      </c>
      <c r="G52" s="19" t="str">
        <f>IFERROR(__xludf.DUMMYFUNCTION("""COMPUTED_VALUE"""),"CV48")</f>
        <v>CV48</v>
      </c>
      <c r="H52" s="19" t="str">
        <f>IFERROR(__xludf.DUMMYFUNCTION("""COMPUTED_VALUE"""),"DEITEL")</f>
        <v>DEITEL</v>
      </c>
      <c r="I52" s="19" t="str">
        <f>IFERROR(__xludf.DUMMYFUNCTION("""COMPUTED_VALUE"""),"Entregada")</f>
        <v>Entregada</v>
      </c>
      <c r="J52" s="20">
        <f>IFERROR(__xludf.DUMMYFUNCTION("""COMPUTED_VALUE"""),44890.0)</f>
        <v>44890</v>
      </c>
      <c r="K52" s="19" t="str">
        <f>IFERROR(__xludf.DUMMYFUNCTION("""COMPUTED_VALUE"""),"Entregada")</f>
        <v>Entregada</v>
      </c>
      <c r="L52" s="20">
        <f>IFERROR(__xludf.DUMMYFUNCTION("""COMPUTED_VALUE"""),44897.0)</f>
        <v>44897</v>
      </c>
      <c r="M52" s="19" t="str">
        <f>IFERROR(__xludf.DUMMYFUNCTION("""COMPUTED_VALUE"""),"LLOO")</f>
        <v>LLOO</v>
      </c>
      <c r="N52" s="19" t="str">
        <f>IFERROR(__xludf.DUMMYFUNCTION("""COMPUTED_VALUE"""),"PRIORIDAD 1 Q3 2023 OCTUBRE")</f>
        <v>PRIORIDAD 1 Q3 2023 OCTUBRE</v>
      </c>
    </row>
    <row r="53" ht="15.75" customHeight="1">
      <c r="A53" s="19" t="str">
        <f>IFERROR(__xludf.DUMMYFUNCTION("""COMPUTED_VALUE"""),"AB_10422")</f>
        <v>AB_10422</v>
      </c>
      <c r="B53" s="19" t="str">
        <f>IFERROR(__xludf.DUMMYFUNCTION("""COMPUTED_VALUE"""),"AB_10422_B")</f>
        <v>AB_10422_B</v>
      </c>
      <c r="C53" s="19" t="str">
        <f>IFERROR(__xludf.DUMMYFUNCTION("""COMPUTED_VALUE"""),"AR10422")</f>
        <v>AR10422</v>
      </c>
      <c r="D53" s="19" t="str">
        <f>IFERROR(__xludf.DUMMYFUNCTION("""COMPUTED_VALUE"""),"LLOO Nueva Imperial Ruta Sur 2")</f>
        <v>LLOO Nueva Imperial Ruta Sur 2</v>
      </c>
      <c r="E53" s="19" t="str">
        <f>IFERROR(__xludf.DUMMYFUNCTION("""COMPUTED_VALUE"""),"SITIO RFI")</f>
        <v>SITIO RFI</v>
      </c>
      <c r="F53" s="19" t="str">
        <f>IFERROR(__xludf.DUMMYFUNCTION("""COMPUTED_VALUE"""),"RFI")</f>
        <v>RFI</v>
      </c>
      <c r="G53" s="19" t="str">
        <f>IFERROR(__xludf.DUMMYFUNCTION("""COMPUTED_VALUE"""),"CV60")</f>
        <v>CV60</v>
      </c>
      <c r="H53" s="19" t="str">
        <f>IFERROR(__xludf.DUMMYFUNCTION("""COMPUTED_VALUE"""),"DEPROMET")</f>
        <v>DEPROMET</v>
      </c>
      <c r="I53" s="19" t="str">
        <f>IFERROR(__xludf.DUMMYFUNCTION("""COMPUTED_VALUE"""),"Entregada")</f>
        <v>Entregada</v>
      </c>
      <c r="J53" s="20">
        <f>IFERROR(__xludf.DUMMYFUNCTION("""COMPUTED_VALUE"""),44893.0)</f>
        <v>44893</v>
      </c>
      <c r="K53" s="19" t="str">
        <f>IFERROR(__xludf.DUMMYFUNCTION("""COMPUTED_VALUE"""),"Entregada")</f>
        <v>Entregada</v>
      </c>
      <c r="L53" s="20">
        <f>IFERROR(__xludf.DUMMYFUNCTION("""COMPUTED_VALUE"""),44911.0)</f>
        <v>44911</v>
      </c>
      <c r="M53" s="19" t="str">
        <f>IFERROR(__xludf.DUMMYFUNCTION("""COMPUTED_VALUE"""),"LLOO")</f>
        <v>LLOO</v>
      </c>
      <c r="N53" s="19" t="str">
        <f>IFERROR(__xludf.DUMMYFUNCTION("""COMPUTED_VALUE"""),"PRIORIDAD 1 Q3 2023 OCTUBRE")</f>
        <v>PRIORIDAD 1 Q3 2023 OCTUBRE</v>
      </c>
    </row>
    <row r="54" ht="15.75" customHeight="1">
      <c r="A54" s="19" t="str">
        <f>IFERROR(__xludf.DUMMYFUNCTION("""COMPUTED_VALUE"""),"AB_10423")</f>
        <v>AB_10423</v>
      </c>
      <c r="B54" s="19" t="str">
        <f>IFERROR(__xludf.DUMMYFUNCTION("""COMPUTED_VALUE"""),"AB_10423_B")</f>
        <v>AB_10423_B</v>
      </c>
      <c r="C54" s="19" t="str">
        <f>IFERROR(__xludf.DUMMYFUNCTION("""COMPUTED_VALUE"""),"AR10423")</f>
        <v>AR10423</v>
      </c>
      <c r="D54" s="19" t="str">
        <f>IFERROR(__xludf.DUMMYFUNCTION("""COMPUTED_VALUE"""),"LLOO Carahue Mirador")</f>
        <v>LLOO Carahue Mirador</v>
      </c>
      <c r="E54" s="19" t="str">
        <f>IFERROR(__xludf.DUMMYFUNCTION("""COMPUTED_VALUE"""),"SITIO RFI")</f>
        <v>SITIO RFI</v>
      </c>
      <c r="F54" s="19" t="str">
        <f>IFERROR(__xludf.DUMMYFUNCTION("""COMPUTED_VALUE"""),"RFI")</f>
        <v>RFI</v>
      </c>
      <c r="G54" s="19" t="str">
        <f>IFERROR(__xludf.DUMMYFUNCTION("""COMPUTED_VALUE"""),"AS54")</f>
        <v>AS54</v>
      </c>
      <c r="H54" s="19" t="str">
        <f>IFERROR(__xludf.DUMMYFUNCTION("""COMPUTED_VALUE"""),"MER")</f>
        <v>MER</v>
      </c>
      <c r="I54" s="19" t="str">
        <f>IFERROR(__xludf.DUMMYFUNCTION("""COMPUTED_VALUE"""),"Entregada")</f>
        <v>Entregada</v>
      </c>
      <c r="J54" s="20">
        <f>IFERROR(__xludf.DUMMYFUNCTION("""COMPUTED_VALUE"""),44881.0)</f>
        <v>44881</v>
      </c>
      <c r="K54" s="19" t="str">
        <f>IFERROR(__xludf.DUMMYFUNCTION("""COMPUTED_VALUE"""),"Entregada")</f>
        <v>Entregada</v>
      </c>
      <c r="L54" s="20">
        <f>IFERROR(__xludf.DUMMYFUNCTION("""COMPUTED_VALUE"""),44883.0)</f>
        <v>44883</v>
      </c>
      <c r="M54" s="19" t="str">
        <f>IFERROR(__xludf.DUMMYFUNCTION("""COMPUTED_VALUE"""),"LLOO")</f>
        <v>LLOO</v>
      </c>
      <c r="N54" s="19" t="str">
        <f>IFERROR(__xludf.DUMMYFUNCTION("""COMPUTED_VALUE"""),"PRIORIDAD 1 Q3 2023 OCTUBRE")</f>
        <v>PRIORIDAD 1 Q3 2023 OCTUBRE</v>
      </c>
    </row>
    <row r="55" ht="15.75" customHeight="1">
      <c r="A55" s="19" t="str">
        <f>IFERROR(__xludf.DUMMYFUNCTION("""COMPUTED_VALUE"""),"AB_10410")</f>
        <v>AB_10410</v>
      </c>
      <c r="B55" s="19" t="str">
        <f>IFERROR(__xludf.DUMMYFUNCTION("""COMPUTED_VALUE"""),"AB_10410_C")</f>
        <v>AB_10410_C</v>
      </c>
      <c r="C55" s="19" t="str">
        <f>IFERROR(__xludf.DUMMYFUNCTION("""COMPUTED_VALUE"""),"AR10410")</f>
        <v>AR10410</v>
      </c>
      <c r="D55" s="19" t="str">
        <f>IFERROR(__xludf.DUMMYFUNCTION("""COMPUTED_VALUE"""),"LLOO Nueva Imperial Cerro")</f>
        <v>LLOO Nueva Imperial Cerro</v>
      </c>
      <c r="E55" s="19" t="str">
        <f>IFERROR(__xludf.DUMMYFUNCTION("""COMPUTED_VALUE"""),"SITIO CONSTRUIDO")</f>
        <v>SITIO CONSTRUIDO</v>
      </c>
      <c r="F55" s="19" t="str">
        <f>IFERROR(__xludf.DUMMYFUNCTION("""COMPUTED_VALUE"""),"ENFIERRADURA")</f>
        <v>ENFIERRADURA</v>
      </c>
      <c r="G55" s="19" t="str">
        <f>IFERROR(__xludf.DUMMYFUNCTION("""COMPUTED_VALUE"""),"AS72")</f>
        <v>AS72</v>
      </c>
      <c r="H55" s="19" t="str">
        <f>IFERROR(__xludf.DUMMYFUNCTION("""COMPUTED_VALUE"""),"MER")</f>
        <v>MER</v>
      </c>
      <c r="I55" s="19" t="str">
        <f>IFERROR(__xludf.DUMMYFUNCTION("""COMPUTED_VALUE"""),"Terminada")</f>
        <v>Terminada</v>
      </c>
      <c r="J55" s="20">
        <f>IFERROR(__xludf.DUMMYFUNCTION("""COMPUTED_VALUE"""),44708.0)</f>
        <v>44708</v>
      </c>
      <c r="K55" s="19" t="str">
        <f>IFERROR(__xludf.DUMMYFUNCTION("""COMPUTED_VALUE"""),"Por pintar ")</f>
        <v>Por pintar </v>
      </c>
      <c r="L55" s="20">
        <f>IFERROR(__xludf.DUMMYFUNCTION("""COMPUTED_VALUE"""),44729.0)</f>
        <v>44729</v>
      </c>
      <c r="M55" s="19" t="str">
        <f>IFERROR(__xludf.DUMMYFUNCTION("""COMPUTED_VALUE"""),"LLOO")</f>
        <v>LLOO</v>
      </c>
      <c r="N55" s="19" t="str">
        <f>IFERROR(__xludf.DUMMYFUNCTION("""COMPUTED_VALUE"""),"PRIORIDAD 1 Q3 2023 OCTUBRE")</f>
        <v>PRIORIDAD 1 Q3 2023 OCTUBRE</v>
      </c>
    </row>
    <row r="56" ht="15.75" customHeight="1">
      <c r="A56" s="19" t="str">
        <f>IFERROR(__xludf.DUMMYFUNCTION("""COMPUTED_VALUE"""),"AB_10425")</f>
        <v>AB_10425</v>
      </c>
      <c r="B56" s="19" t="str">
        <f>IFERROR(__xludf.DUMMYFUNCTION("""COMPUTED_VALUE"""),"AB_10425_D")</f>
        <v>AB_10425_D</v>
      </c>
      <c r="C56" s="19" t="str">
        <f>IFERROR(__xludf.DUMMYFUNCTION("""COMPUTED_VALUE"""),"AR10425")</f>
        <v>AR10425</v>
      </c>
      <c r="D56" s="19" t="str">
        <f>IFERROR(__xludf.DUMMYFUNCTION("""COMPUTED_VALUE"""),"LLOO Budi Lake")</f>
        <v>LLOO Budi Lake</v>
      </c>
      <c r="E56" s="19" t="str">
        <f>IFERROR(__xludf.DUMMYFUNCTION("""COMPUTED_VALUE"""),"SITIO RFI")</f>
        <v>SITIO RFI</v>
      </c>
      <c r="F56" s="19" t="str">
        <f>IFERROR(__xludf.DUMMYFUNCTION("""COMPUTED_VALUE"""),"RFI")</f>
        <v>RFI</v>
      </c>
      <c r="G56" s="19" t="str">
        <f>IFERROR(__xludf.DUMMYFUNCTION("""COMPUTED_VALUE"""),"CV48")</f>
        <v>CV48</v>
      </c>
      <c r="H56" s="19" t="str">
        <f>IFERROR(__xludf.DUMMYFUNCTION("""COMPUTED_VALUE"""),"JTI")</f>
        <v>JTI</v>
      </c>
      <c r="I56" s="19" t="str">
        <f>IFERROR(__xludf.DUMMYFUNCTION("""COMPUTED_VALUE"""),"Entregada")</f>
        <v>Entregada</v>
      </c>
      <c r="J56" s="20">
        <f>IFERROR(__xludf.DUMMYFUNCTION("""COMPUTED_VALUE"""),44876.0)</f>
        <v>44876</v>
      </c>
      <c r="K56" s="19" t="str">
        <f>IFERROR(__xludf.DUMMYFUNCTION("""COMPUTED_VALUE"""),"Entregada")</f>
        <v>Entregada</v>
      </c>
      <c r="L56" s="20">
        <f>IFERROR(__xludf.DUMMYFUNCTION("""COMPUTED_VALUE"""),44902.0)</f>
        <v>44902</v>
      </c>
      <c r="M56" s="19" t="str">
        <f>IFERROR(__xludf.DUMMYFUNCTION("""COMPUTED_VALUE"""),"LLOO")</f>
        <v>LLOO</v>
      </c>
      <c r="N56" s="19" t="str">
        <f>IFERROR(__xludf.DUMMYFUNCTION("""COMPUTED_VALUE"""),"PRIORIDAD 1 Q3 2023 OCTUBRE")</f>
        <v>PRIORIDAD 1 Q3 2023 OCTUBRE</v>
      </c>
    </row>
    <row r="57" ht="15.75" customHeight="1">
      <c r="A57" s="19" t="str">
        <f>IFERROR(__xludf.DUMMYFUNCTION("""COMPUTED_VALUE"""),"AB_10413")</f>
        <v>AB_10413</v>
      </c>
      <c r="B57" s="19" t="str">
        <f>IFERROR(__xludf.DUMMYFUNCTION("""COMPUTED_VALUE"""),"AB_10413_K")</f>
        <v>AB_10413_K</v>
      </c>
      <c r="C57" s="19" t="str">
        <f>IFERROR(__xludf.DUMMYFUNCTION("""COMPUTED_VALUE"""),"AR10413")</f>
        <v>AR10413</v>
      </c>
      <c r="D57" s="19" t="str">
        <f>IFERROR(__xludf.DUMMYFUNCTION("""COMPUTED_VALUE"""),"LLOO Salto El Leon")</f>
        <v>LLOO Salto El Leon</v>
      </c>
      <c r="E57" s="19" t="str">
        <f>IFERROR(__xludf.DUMMYFUNCTION("""COMPUTED_VALUE"""),"SITIO CONSTRUIDO")</f>
        <v>SITIO CONSTRUIDO</v>
      </c>
      <c r="F57" s="19" t="str">
        <f>IFERROR(__xludf.DUMMYFUNCTION("""COMPUTED_VALUE"""),"HORMIGONADO")</f>
        <v>HORMIGONADO</v>
      </c>
      <c r="G57" s="19" t="str">
        <f>IFERROR(__xludf.DUMMYFUNCTION("""COMPUTED_VALUE"""),"AS72")</f>
        <v>AS72</v>
      </c>
      <c r="H57" s="19" t="str">
        <f>IFERROR(__xludf.DUMMYFUNCTION("""COMPUTED_VALUE"""),"MER")</f>
        <v>MER</v>
      </c>
      <c r="I57" s="19" t="str">
        <f>IFERROR(__xludf.DUMMYFUNCTION("""COMPUTED_VALUE"""),"Entregada")</f>
        <v>Entregada</v>
      </c>
      <c r="J57" s="20">
        <f>IFERROR(__xludf.DUMMYFUNCTION("""COMPUTED_VALUE"""),44881.0)</f>
        <v>44881</v>
      </c>
      <c r="K57" s="19" t="str">
        <f>IFERROR(__xludf.DUMMYFUNCTION("""COMPUTED_VALUE"""),"Entregada")</f>
        <v>Entregada</v>
      </c>
      <c r="L57" s="20">
        <f>IFERROR(__xludf.DUMMYFUNCTION("""COMPUTED_VALUE"""),44897.0)</f>
        <v>44897</v>
      </c>
      <c r="M57" s="19" t="str">
        <f>IFERROR(__xludf.DUMMYFUNCTION("""COMPUTED_VALUE"""),"LLOO")</f>
        <v>LLOO</v>
      </c>
      <c r="N57" s="19" t="str">
        <f>IFERROR(__xludf.DUMMYFUNCTION("""COMPUTED_VALUE"""),"PRIORIDAD 1 Q3 2023 OCTUBRE")</f>
        <v>PRIORIDAD 1 Q3 2023 OCTUBRE</v>
      </c>
    </row>
    <row r="58" ht="15.75" customHeight="1">
      <c r="A58" s="19" t="str">
        <f>IFERROR(__xludf.DUMMYFUNCTION("""COMPUTED_VALUE"""),"AB_10427")</f>
        <v>AB_10427</v>
      </c>
      <c r="B58" s="19" t="str">
        <f>IFERROR(__xludf.DUMMYFUNCTION("""COMPUTED_VALUE"""),"AB_10427_A")</f>
        <v>AB_10427_A</v>
      </c>
      <c r="C58" s="19" t="str">
        <f>IFERROR(__xludf.DUMMYFUNCTION("""COMPUTED_VALUE"""),"AR10427")</f>
        <v>AR10427</v>
      </c>
      <c r="D58" s="19" t="str">
        <f>IFERROR(__xludf.DUMMYFUNCTION("""COMPUTED_VALUE"""),"LLOO Lumaco Cerro Sur")</f>
        <v>LLOO Lumaco Cerro Sur</v>
      </c>
      <c r="E58" s="19" t="str">
        <f>IFERROR(__xludf.DUMMYFUNCTION("""COMPUTED_VALUE"""),"SITIO RFI")</f>
        <v>SITIO RFI</v>
      </c>
      <c r="F58" s="19" t="str">
        <f>IFERROR(__xludf.DUMMYFUNCTION("""COMPUTED_VALUE"""),"RFI")</f>
        <v>RFI</v>
      </c>
      <c r="G58" s="19" t="str">
        <f>IFERROR(__xludf.DUMMYFUNCTION("""COMPUTED_VALUE"""),"CV60")</f>
        <v>CV60</v>
      </c>
      <c r="H58" s="19" t="str">
        <f>IFERROR(__xludf.DUMMYFUNCTION("""COMPUTED_VALUE"""),"DEPROMET")</f>
        <v>DEPROMET</v>
      </c>
      <c r="I58" s="19" t="str">
        <f>IFERROR(__xludf.DUMMYFUNCTION("""COMPUTED_VALUE"""),"Entregada")</f>
        <v>Entregada</v>
      </c>
      <c r="J58" s="20">
        <f>IFERROR(__xludf.DUMMYFUNCTION("""COMPUTED_VALUE"""),45001.0)</f>
        <v>45001</v>
      </c>
      <c r="K58" s="19" t="str">
        <f>IFERROR(__xludf.DUMMYFUNCTION("""COMPUTED_VALUE"""),"Entregada")</f>
        <v>Entregada</v>
      </c>
      <c r="L58" s="20">
        <f>IFERROR(__xludf.DUMMYFUNCTION("""COMPUTED_VALUE"""),45014.0)</f>
        <v>45014</v>
      </c>
      <c r="M58" s="19" t="str">
        <f>IFERROR(__xludf.DUMMYFUNCTION("""COMPUTED_VALUE"""),"PCM")</f>
        <v>PCM</v>
      </c>
      <c r="N58" s="19" t="str">
        <f>IFERROR(__xludf.DUMMYFUNCTION("""COMPUTED_VALUE"""),"PRIORIDAD 1 Q3 2023 OCTUBRE")</f>
        <v>PRIORIDAD 1 Q3 2023 OCTUBRE</v>
      </c>
    </row>
    <row r="59" ht="15.75" customHeight="1">
      <c r="A59" s="19" t="str">
        <f>IFERROR(__xludf.DUMMYFUNCTION("""COMPUTED_VALUE"""),"AB_10428")</f>
        <v>AB_10428</v>
      </c>
      <c r="B59" s="19" t="str">
        <f>IFERROR(__xludf.DUMMYFUNCTION("""COMPUTED_VALUE"""),"AB_10428_B")</f>
        <v>AB_10428_B</v>
      </c>
      <c r="C59" s="19" t="str">
        <f>IFERROR(__xludf.DUMMYFUNCTION("""COMPUTED_VALUE"""),"AR10428")</f>
        <v>AR10428</v>
      </c>
      <c r="D59" s="19" t="str">
        <f>IFERROR(__xludf.DUMMYFUNCTION("""COMPUTED_VALUE"""),"LLOO Nueva Imperial Borde Norte")</f>
        <v>LLOO Nueva Imperial Borde Norte</v>
      </c>
      <c r="E59" s="19" t="str">
        <f>IFERROR(__xludf.DUMMYFUNCTION("""COMPUTED_VALUE"""),"SITIO RFI")</f>
        <v>SITIO RFI</v>
      </c>
      <c r="F59" s="19" t="str">
        <f>IFERROR(__xludf.DUMMYFUNCTION("""COMPUTED_VALUE"""),"RFI")</f>
        <v>RFI</v>
      </c>
      <c r="G59" s="19" t="str">
        <f>IFERROR(__xludf.DUMMYFUNCTION("""COMPUTED_VALUE"""),"CV60")</f>
        <v>CV60</v>
      </c>
      <c r="H59" s="19" t="str">
        <f>IFERROR(__xludf.DUMMYFUNCTION("""COMPUTED_VALUE"""),"DEPROMET")</f>
        <v>DEPROMET</v>
      </c>
      <c r="I59" s="19" t="str">
        <f>IFERROR(__xludf.DUMMYFUNCTION("""COMPUTED_VALUE"""),"Entregada")</f>
        <v>Entregada</v>
      </c>
      <c r="J59" s="20">
        <f>IFERROR(__xludf.DUMMYFUNCTION("""COMPUTED_VALUE"""),44893.0)</f>
        <v>44893</v>
      </c>
      <c r="K59" s="19" t="str">
        <f>IFERROR(__xludf.DUMMYFUNCTION("""COMPUTED_VALUE"""),"Entregada")</f>
        <v>Entregada</v>
      </c>
      <c r="L59" s="20">
        <f>IFERROR(__xludf.DUMMYFUNCTION("""COMPUTED_VALUE"""),44911.0)</f>
        <v>44911</v>
      </c>
      <c r="M59" s="19" t="str">
        <f>IFERROR(__xludf.DUMMYFUNCTION("""COMPUTED_VALUE"""),"LLOO")</f>
        <v>LLOO</v>
      </c>
      <c r="N59" s="19" t="str">
        <f>IFERROR(__xludf.DUMMYFUNCTION("""COMPUTED_VALUE"""),"PRIORIDAD 1 Q3 2023 OCTUBRE")</f>
        <v>PRIORIDAD 1 Q3 2023 OCTUBRE</v>
      </c>
    </row>
    <row r="60" ht="15.75" customHeight="1">
      <c r="A60" s="19" t="str">
        <f>IFERROR(__xludf.DUMMYFUNCTION("""COMPUTED_VALUE"""),"AB_10429")</f>
        <v>AB_10429</v>
      </c>
      <c r="B60" s="19" t="str">
        <f>IFERROR(__xludf.DUMMYFUNCTION("""COMPUTED_VALUE"""),"AB_10429_B")</f>
        <v>AB_10429_B</v>
      </c>
      <c r="C60" s="19" t="str">
        <f>IFERROR(__xludf.DUMMYFUNCTION("""COMPUTED_VALUE"""),"AR10429")</f>
        <v>AR10429</v>
      </c>
      <c r="D60" s="19" t="str">
        <f>IFERROR(__xludf.DUMMYFUNCTION("""COMPUTED_VALUE"""),"LLOO Villarrica-Loncoche")</f>
        <v>LLOO Villarrica-Loncoche</v>
      </c>
      <c r="E60" s="19" t="str">
        <f>IFERROR(__xludf.DUMMYFUNCTION("""COMPUTED_VALUE"""),"SITIO RFI")</f>
        <v>SITIO RFI</v>
      </c>
      <c r="F60" s="19" t="str">
        <f>IFERROR(__xludf.DUMMYFUNCTION("""COMPUTED_VALUE"""),"RFI")</f>
        <v>RFI</v>
      </c>
      <c r="G60" s="19" t="str">
        <f>IFERROR(__xludf.DUMMYFUNCTION("""COMPUTED_VALUE"""),"CV48")</f>
        <v>CV48</v>
      </c>
      <c r="H60" s="19" t="str">
        <f>IFERROR(__xludf.DUMMYFUNCTION("""COMPUTED_VALUE"""),"DEITEL")</f>
        <v>DEITEL</v>
      </c>
      <c r="I60" s="19" t="str">
        <f>IFERROR(__xludf.DUMMYFUNCTION("""COMPUTED_VALUE"""),"Entregada")</f>
        <v>Entregada</v>
      </c>
      <c r="J60" s="20">
        <f>IFERROR(__xludf.DUMMYFUNCTION("""COMPUTED_VALUE"""),44862.0)</f>
        <v>44862</v>
      </c>
      <c r="K60" s="19" t="str">
        <f>IFERROR(__xludf.DUMMYFUNCTION("""COMPUTED_VALUE"""),"Entregada")</f>
        <v>Entregada</v>
      </c>
      <c r="L60" s="20">
        <f>IFERROR(__xludf.DUMMYFUNCTION("""COMPUTED_VALUE"""),44883.0)</f>
        <v>44883</v>
      </c>
      <c r="M60" s="19" t="str">
        <f>IFERROR(__xludf.DUMMYFUNCTION("""COMPUTED_VALUE"""),"LLOO")</f>
        <v>LLOO</v>
      </c>
      <c r="N60" s="19" t="str">
        <f>IFERROR(__xludf.DUMMYFUNCTION("""COMPUTED_VALUE"""),"PRIORIDAD 1 Q3 2023 OCTUBRE")</f>
        <v>PRIORIDAD 1 Q3 2023 OCTUBRE</v>
      </c>
    </row>
    <row r="61" ht="15.75" customHeight="1">
      <c r="A61" s="19" t="str">
        <f>IFERROR(__xludf.DUMMYFUNCTION("""COMPUTED_VALUE"""),"AB_10430")</f>
        <v>AB_10430</v>
      </c>
      <c r="B61" s="19" t="str">
        <f>IFERROR(__xludf.DUMMYFUNCTION("""COMPUTED_VALUE"""),"AB_10430_A")</f>
        <v>AB_10430_A</v>
      </c>
      <c r="C61" s="19" t="str">
        <f>IFERROR(__xludf.DUMMYFUNCTION("""COMPUTED_VALUE"""),"AR10430")</f>
        <v>AR10430</v>
      </c>
      <c r="D61" s="19" t="str">
        <f>IFERROR(__xludf.DUMMYFUNCTION("""COMPUTED_VALUE"""),"LLOO Curacautin-Lautaro")</f>
        <v>LLOO Curacautin-Lautaro</v>
      </c>
      <c r="E61" s="19" t="str">
        <f>IFERROR(__xludf.DUMMYFUNCTION("""COMPUTED_VALUE"""),"SITIO RFI")</f>
        <v>SITIO RFI</v>
      </c>
      <c r="F61" s="19" t="str">
        <f>IFERROR(__xludf.DUMMYFUNCTION("""COMPUTED_VALUE"""),"RFI")</f>
        <v>RFI</v>
      </c>
      <c r="G61" s="19" t="str">
        <f>IFERROR(__xludf.DUMMYFUNCTION("""COMPUTED_VALUE"""),"AS48")</f>
        <v>AS48</v>
      </c>
      <c r="H61" s="19" t="str">
        <f>IFERROR(__xludf.DUMMYFUNCTION("""COMPUTED_VALUE"""),"ADM")</f>
        <v>ADM</v>
      </c>
      <c r="I61" s="19" t="str">
        <f>IFERROR(__xludf.DUMMYFUNCTION("""COMPUTED_VALUE"""),"Entregada")</f>
        <v>Entregada</v>
      </c>
      <c r="J61" s="20">
        <f>IFERROR(__xludf.DUMMYFUNCTION("""COMPUTED_VALUE"""),44750.0)</f>
        <v>44750</v>
      </c>
      <c r="K61" s="19" t="str">
        <f>IFERROR(__xludf.DUMMYFUNCTION("""COMPUTED_VALUE"""),"Entregada")</f>
        <v>Entregada</v>
      </c>
      <c r="L61" s="20">
        <f>IFERROR(__xludf.DUMMYFUNCTION("""COMPUTED_VALUE"""),44785.0)</f>
        <v>44785</v>
      </c>
      <c r="M61" s="19" t="str">
        <f>IFERROR(__xludf.DUMMYFUNCTION("""COMPUTED_VALUE"""),"LLOO")</f>
        <v>LLOO</v>
      </c>
      <c r="N61" s="19" t="str">
        <f>IFERROR(__xludf.DUMMYFUNCTION("""COMPUTED_VALUE"""),"PRIORIDAD 1 Q3 2023 OCTUBRE")</f>
        <v>PRIORIDAD 1 Q3 2023 OCTUBRE</v>
      </c>
    </row>
    <row r="62" ht="15.75" customHeight="1">
      <c r="A62" s="19" t="str">
        <f>IFERROR(__xludf.DUMMYFUNCTION("""COMPUTED_VALUE"""),"AB_10431")</f>
        <v>AB_10431</v>
      </c>
      <c r="B62" s="19" t="str">
        <f>IFERROR(__xludf.DUMMYFUNCTION("""COMPUTED_VALUE"""),"AB_10431_B")</f>
        <v>AB_10431_B</v>
      </c>
      <c r="C62" s="19" t="str">
        <f>IFERROR(__xludf.DUMMYFUNCTION("""COMPUTED_VALUE"""),"AR10431")</f>
        <v>AR10431</v>
      </c>
      <c r="D62" s="19" t="str">
        <f>IFERROR(__xludf.DUMMYFUNCTION("""COMPUTED_VALUE"""),"LLOO Peleco")</f>
        <v>LLOO Peleco</v>
      </c>
      <c r="E62" s="19" t="str">
        <f>IFERROR(__xludf.DUMMYFUNCTION("""COMPUTED_VALUE"""),"SITIO RFI")</f>
        <v>SITIO RFI</v>
      </c>
      <c r="F62" s="19" t="str">
        <f>IFERROR(__xludf.DUMMYFUNCTION("""COMPUTED_VALUE"""),"CIERRE")</f>
        <v>CIERRE</v>
      </c>
      <c r="G62" s="19" t="str">
        <f>IFERROR(__xludf.DUMMYFUNCTION("""COMPUTED_VALUE"""),"AS60")</f>
        <v>AS60</v>
      </c>
      <c r="H62" s="19" t="str">
        <f>IFERROR(__xludf.DUMMYFUNCTION("""COMPUTED_VALUE"""),"ADM")</f>
        <v>ADM</v>
      </c>
      <c r="I62" s="19" t="str">
        <f>IFERROR(__xludf.DUMMYFUNCTION("""COMPUTED_VALUE"""),"Entregada")</f>
        <v>Entregada</v>
      </c>
      <c r="J62" s="20">
        <f>IFERROR(__xludf.DUMMYFUNCTION("""COMPUTED_VALUE"""),44750.0)</f>
        <v>44750</v>
      </c>
      <c r="K62" s="19" t="str">
        <f>IFERROR(__xludf.DUMMYFUNCTION("""COMPUTED_VALUE"""),"Entregada")</f>
        <v>Entregada</v>
      </c>
      <c r="L62" s="20">
        <f>IFERROR(__xludf.DUMMYFUNCTION("""COMPUTED_VALUE"""),44778.0)</f>
        <v>44778</v>
      </c>
      <c r="M62" s="19" t="str">
        <f>IFERROR(__xludf.DUMMYFUNCTION("""COMPUTED_VALUE"""),"LLOO")</f>
        <v>LLOO</v>
      </c>
      <c r="N62" s="19" t="str">
        <f>IFERROR(__xludf.DUMMYFUNCTION("""COMPUTED_VALUE"""),"PRIORIDAD 1 Q3 2023 OCTUBRE")</f>
        <v>PRIORIDAD 1 Q3 2023 OCTUBRE</v>
      </c>
    </row>
    <row r="63" ht="15.75" customHeight="1">
      <c r="A63" s="19" t="str">
        <f>IFERROR(__xludf.DUMMYFUNCTION("""COMPUTED_VALUE"""),"AB_10432")</f>
        <v>AB_10432</v>
      </c>
      <c r="B63" s="19" t="str">
        <f>IFERROR(__xludf.DUMMYFUNCTION("""COMPUTED_VALUE"""),"AB_10432_B")</f>
        <v>AB_10432_B</v>
      </c>
      <c r="C63" s="19" t="str">
        <f>IFERROR(__xludf.DUMMYFUNCTION("""COMPUTED_VALUE"""),"AR10432")</f>
        <v>AR10432</v>
      </c>
      <c r="D63" s="19" t="str">
        <f>IFERROR(__xludf.DUMMYFUNCTION("""COMPUTED_VALUE"""),"LLOO Aeropuerto Araucania")</f>
        <v>LLOO Aeropuerto Araucania</v>
      </c>
      <c r="E63" s="19" t="str">
        <f>IFERROR(__xludf.DUMMYFUNCTION("""COMPUTED_VALUE"""),"SITIO RFI")</f>
        <v>SITIO RFI</v>
      </c>
      <c r="F63" s="19" t="str">
        <f>IFERROR(__xludf.DUMMYFUNCTION("""COMPUTED_VALUE"""),"RFI")</f>
        <v>RFI</v>
      </c>
      <c r="G63" s="19" t="str">
        <f>IFERROR(__xludf.DUMMYFUNCTION("""COMPUTED_VALUE"""),"CV54")</f>
        <v>CV54</v>
      </c>
      <c r="H63" s="19" t="str">
        <f>IFERROR(__xludf.DUMMYFUNCTION("""COMPUTED_VALUE"""),"AJ")</f>
        <v>AJ</v>
      </c>
      <c r="I63" s="19" t="str">
        <f>IFERROR(__xludf.DUMMYFUNCTION("""COMPUTED_VALUE"""),"Entregada")</f>
        <v>Entregada</v>
      </c>
      <c r="J63" s="20">
        <f>IFERROR(__xludf.DUMMYFUNCTION("""COMPUTED_VALUE"""),44771.0)</f>
        <v>44771</v>
      </c>
      <c r="K63" s="19" t="str">
        <f>IFERROR(__xludf.DUMMYFUNCTION("""COMPUTED_VALUE"""),"Entregada")</f>
        <v>Entregada</v>
      </c>
      <c r="L63" s="20">
        <f>IFERROR(__xludf.DUMMYFUNCTION("""COMPUTED_VALUE"""),44882.0)</f>
        <v>44882</v>
      </c>
      <c r="M63" s="19" t="str">
        <f>IFERROR(__xludf.DUMMYFUNCTION("""COMPUTED_VALUE"""),"LLOO")</f>
        <v>LLOO</v>
      </c>
      <c r="N63" s="19" t="str">
        <f>IFERROR(__xludf.DUMMYFUNCTION("""COMPUTED_VALUE"""),"PRIORIDAD 1 Q3 2023 OCTUBRE")</f>
        <v>PRIORIDAD 1 Q3 2023 OCTUBRE</v>
      </c>
    </row>
    <row r="64" ht="15.75" customHeight="1">
      <c r="A64" s="19" t="str">
        <f>IFERROR(__xludf.DUMMYFUNCTION("""COMPUTED_VALUE"""),"AB_10433")</f>
        <v>AB_10433</v>
      </c>
      <c r="B64" s="19" t="str">
        <f>IFERROR(__xludf.DUMMYFUNCTION("""COMPUTED_VALUE"""),"AB_10433_A")</f>
        <v>AB_10433_A</v>
      </c>
      <c r="C64" s="19" t="str">
        <f>IFERROR(__xludf.DUMMYFUNCTION("""COMPUTED_VALUE"""),"AR10433")</f>
        <v>AR10433</v>
      </c>
      <c r="D64" s="19" t="str">
        <f>IFERROR(__xludf.DUMMYFUNCTION("""COMPUTED_VALUE"""),"LLOO Termas Quimey")</f>
        <v>LLOO Termas Quimey</v>
      </c>
      <c r="E64" s="19" t="str">
        <f>IFERROR(__xludf.DUMMYFUNCTION("""COMPUTED_VALUE"""),"SITIO RFI")</f>
        <v>SITIO RFI</v>
      </c>
      <c r="F64" s="19" t="str">
        <f>IFERROR(__xludf.DUMMYFUNCTION("""COMPUTED_VALUE"""),"RFI")</f>
        <v>RFI</v>
      </c>
      <c r="G64" s="19" t="str">
        <f>IFERROR(__xludf.DUMMYFUNCTION("""COMPUTED_VALUE"""),"CV60")</f>
        <v>CV60</v>
      </c>
      <c r="H64" s="19" t="str">
        <f>IFERROR(__xludf.DUMMYFUNCTION("""COMPUTED_VALUE"""),"DEPROMET")</f>
        <v>DEPROMET</v>
      </c>
      <c r="I64" s="19" t="str">
        <f>IFERROR(__xludf.DUMMYFUNCTION("""COMPUTED_VALUE"""),"Entregada")</f>
        <v>Entregada</v>
      </c>
      <c r="J64" s="20">
        <f>IFERROR(__xludf.DUMMYFUNCTION("""COMPUTED_VALUE"""),44839.0)</f>
        <v>44839</v>
      </c>
      <c r="K64" s="19" t="str">
        <f>IFERROR(__xludf.DUMMYFUNCTION("""COMPUTED_VALUE"""),"Entregada")</f>
        <v>Entregada</v>
      </c>
      <c r="L64" s="20">
        <f>IFERROR(__xludf.DUMMYFUNCTION("""COMPUTED_VALUE"""),44861.0)</f>
        <v>44861</v>
      </c>
      <c r="M64" s="19" t="str">
        <f>IFERROR(__xludf.DUMMYFUNCTION("""COMPUTED_VALUE"""),"LLOO")</f>
        <v>LLOO</v>
      </c>
      <c r="N64" s="19" t="str">
        <f>IFERROR(__xludf.DUMMYFUNCTION("""COMPUTED_VALUE"""),"PRIORIDAD 1 Q3 2023 OCTUBRE")</f>
        <v>PRIORIDAD 1 Q3 2023 OCTUBRE</v>
      </c>
    </row>
    <row r="65" ht="15.75" customHeight="1">
      <c r="A65" s="19" t="str">
        <f>IFERROR(__xludf.DUMMYFUNCTION("""COMPUTED_VALUE"""),"AB_10417")</f>
        <v>AB_10417</v>
      </c>
      <c r="B65" s="19" t="str">
        <f>IFERROR(__xludf.DUMMYFUNCTION("""COMPUTED_VALUE"""),"AB_10417_D")</f>
        <v>AB_10417_D</v>
      </c>
      <c r="C65" s="19" t="str">
        <f>IFERROR(__xludf.DUMMYFUNCTION("""COMPUTED_VALUE"""),"AR10417")</f>
        <v>AR10417</v>
      </c>
      <c r="D65" s="19" t="str">
        <f>IFERROR(__xludf.DUMMYFUNCTION("""COMPUTED_VALUE"""),"LLOO Lago Villarica Poniente")</f>
        <v>LLOO Lago Villarica Poniente</v>
      </c>
      <c r="E65" s="19" t="str">
        <f>IFERROR(__xludf.DUMMYFUNCTION("""COMPUTED_VALUE"""),"SITIO CONSTRUIDO")</f>
        <v>SITIO CONSTRUIDO</v>
      </c>
      <c r="F65" s="19" t="str">
        <f>IFERROR(__xludf.DUMMYFUNCTION("""COMPUTED_VALUE"""),"ENFIERRADURA")</f>
        <v>ENFIERRADURA</v>
      </c>
      <c r="G65" s="19" t="str">
        <f>IFERROR(__xludf.DUMMYFUNCTION("""COMPUTED_VALUE"""),"AS48")</f>
        <v>AS48</v>
      </c>
      <c r="H65" s="19" t="str">
        <f>IFERROR(__xludf.DUMMYFUNCTION("""COMPUTED_VALUE"""),"METALING")</f>
        <v>METALING</v>
      </c>
      <c r="I65" s="19" t="str">
        <f>IFERROR(__xludf.DUMMYFUNCTION("""COMPUTED_VALUE"""),"Terminada")</f>
        <v>Terminada</v>
      </c>
      <c r="J65" s="20">
        <f>IFERROR(__xludf.DUMMYFUNCTION("""COMPUTED_VALUE"""),44876.0)</f>
        <v>44876</v>
      </c>
      <c r="K65" s="19" t="str">
        <f>IFERROR(__xludf.DUMMYFUNCTION("""COMPUTED_VALUE"""),"Terminada")</f>
        <v>Terminada</v>
      </c>
      <c r="L65" s="20">
        <f>IFERROR(__xludf.DUMMYFUNCTION("""COMPUTED_VALUE"""),44924.0)</f>
        <v>44924</v>
      </c>
      <c r="M65" s="19" t="str">
        <f>IFERROR(__xludf.DUMMYFUNCTION("""COMPUTED_VALUE"""),"LLOO")</f>
        <v>LLOO</v>
      </c>
      <c r="N65" s="19" t="str">
        <f>IFERROR(__xludf.DUMMYFUNCTION("""COMPUTED_VALUE"""),"PRIORIDAD 1 Q3 2023 OCTUBRE")</f>
        <v>PRIORIDAD 1 Q3 2023 OCTUBRE</v>
      </c>
    </row>
    <row r="66" ht="15.75" customHeight="1">
      <c r="A66" s="19" t="str">
        <f>IFERROR(__xludf.DUMMYFUNCTION("""COMPUTED_VALUE"""),"AB_10435")</f>
        <v>AB_10435</v>
      </c>
      <c r="B66" s="19" t="str">
        <f>IFERROR(__xludf.DUMMYFUNCTION("""COMPUTED_VALUE"""),"AB_10435_C")</f>
        <v>AB_10435_C</v>
      </c>
      <c r="C66" s="19" t="str">
        <f>IFERROR(__xludf.DUMMYFUNCTION("""COMPUTED_VALUE"""),"AR10435")</f>
        <v>AR10435</v>
      </c>
      <c r="D66" s="19" t="str">
        <f>IFERROR(__xludf.DUMMYFUNCTION("""COMPUTED_VALUE"""),"LLOO Galvarino Norte")</f>
        <v>LLOO Galvarino Norte</v>
      </c>
      <c r="E66" s="19" t="str">
        <f>IFERROR(__xludf.DUMMYFUNCTION("""COMPUTED_VALUE"""),"SITIO RFI")</f>
        <v>SITIO RFI</v>
      </c>
      <c r="F66" s="19" t="str">
        <f>IFERROR(__xludf.DUMMYFUNCTION("""COMPUTED_VALUE"""),"RFI")</f>
        <v>RFI</v>
      </c>
      <c r="G66" s="19" t="str">
        <f>IFERROR(__xludf.DUMMYFUNCTION("""COMPUTED_VALUE"""),"CV48")</f>
        <v>CV48</v>
      </c>
      <c r="H66" s="19" t="str">
        <f>IFERROR(__xludf.DUMMYFUNCTION("""COMPUTED_VALUE"""),"JTI")</f>
        <v>JTI</v>
      </c>
      <c r="I66" s="19" t="str">
        <f>IFERROR(__xludf.DUMMYFUNCTION("""COMPUTED_VALUE"""),"Entregada")</f>
        <v>Entregada</v>
      </c>
      <c r="J66" s="20">
        <f>IFERROR(__xludf.DUMMYFUNCTION("""COMPUTED_VALUE"""),44859.0)</f>
        <v>44859</v>
      </c>
      <c r="K66" s="19" t="str">
        <f>IFERROR(__xludf.DUMMYFUNCTION("""COMPUTED_VALUE"""),"Entregada")</f>
        <v>Entregada</v>
      </c>
      <c r="L66" s="20">
        <f>IFERROR(__xludf.DUMMYFUNCTION("""COMPUTED_VALUE"""),44771.0)</f>
        <v>44771</v>
      </c>
      <c r="M66" s="19" t="str">
        <f>IFERROR(__xludf.DUMMYFUNCTION("""COMPUTED_VALUE"""),"LLOO")</f>
        <v>LLOO</v>
      </c>
      <c r="N66" s="19" t="str">
        <f>IFERROR(__xludf.DUMMYFUNCTION("""COMPUTED_VALUE"""),"PRIORIDAD 1 Q3 2023 OCTUBRE")</f>
        <v>PRIORIDAD 1 Q3 2023 OCTUBRE</v>
      </c>
    </row>
    <row r="67" ht="15.75" customHeight="1">
      <c r="A67" s="19" t="str">
        <f>IFERROR(__xludf.DUMMYFUNCTION("""COMPUTED_VALUE"""),"AB_10436")</f>
        <v>AB_10436</v>
      </c>
      <c r="B67" s="19" t="str">
        <f>IFERROR(__xludf.DUMMYFUNCTION("""COMPUTED_VALUE"""),"AB_10436_E")</f>
        <v>AB_10436_E</v>
      </c>
      <c r="C67" s="19" t="str">
        <f>IFERROR(__xludf.DUMMYFUNCTION("""COMPUTED_VALUE"""),"AR10436")</f>
        <v>AR10436</v>
      </c>
      <c r="D67" s="19" t="str">
        <f>IFERROR(__xludf.DUMMYFUNCTION("""COMPUTED_VALUE"""),"LLOO Los Sauces Cerro")</f>
        <v>LLOO Los Sauces Cerro</v>
      </c>
      <c r="E67" s="19" t="str">
        <f>IFERROR(__xludf.DUMMYFUNCTION("""COMPUTED_VALUE"""),"SITIO RFI")</f>
        <v>SITIO RFI</v>
      </c>
      <c r="F67" s="19" t="str">
        <f>IFERROR(__xludf.DUMMYFUNCTION("""COMPUTED_VALUE"""),"RFI")</f>
        <v>RFI</v>
      </c>
      <c r="G67" s="19" t="str">
        <f>IFERROR(__xludf.DUMMYFUNCTION("""COMPUTED_VALUE"""),"CV60")</f>
        <v>CV60</v>
      </c>
      <c r="H67" s="19" t="str">
        <f>IFERROR(__xludf.DUMMYFUNCTION("""COMPUTED_VALUE"""),"DEPROMET")</f>
        <v>DEPROMET</v>
      </c>
      <c r="I67" s="19" t="str">
        <f>IFERROR(__xludf.DUMMYFUNCTION("""COMPUTED_VALUE"""),"Entregada")</f>
        <v>Entregada</v>
      </c>
      <c r="J67" s="20">
        <f>IFERROR(__xludf.DUMMYFUNCTION("""COMPUTED_VALUE"""),44839.0)</f>
        <v>44839</v>
      </c>
      <c r="K67" s="19" t="str">
        <f>IFERROR(__xludf.DUMMYFUNCTION("""COMPUTED_VALUE"""),"Entregada")</f>
        <v>Entregada</v>
      </c>
      <c r="L67" s="20">
        <f>IFERROR(__xludf.DUMMYFUNCTION("""COMPUTED_VALUE"""),44861.0)</f>
        <v>44861</v>
      </c>
      <c r="M67" s="19" t="str">
        <f>IFERROR(__xludf.DUMMYFUNCTION("""COMPUTED_VALUE"""),"LLOO")</f>
        <v>LLOO</v>
      </c>
      <c r="N67" s="19" t="str">
        <f>IFERROR(__xludf.DUMMYFUNCTION("""COMPUTED_VALUE"""),"PRIORIDAD 1 Q3 2023 OCTUBRE")</f>
        <v>PRIORIDAD 1 Q3 2023 OCTUBRE</v>
      </c>
    </row>
    <row r="68" ht="15.75" customHeight="1">
      <c r="A68" s="19" t="str">
        <f>IFERROR(__xludf.DUMMYFUNCTION("""COMPUTED_VALUE"""),"AB_10437")</f>
        <v>AB_10437</v>
      </c>
      <c r="B68" s="19" t="str">
        <f>IFERROR(__xludf.DUMMYFUNCTION("""COMPUTED_VALUE"""),"AB_10437_C")</f>
        <v>AB_10437_C</v>
      </c>
      <c r="C68" s="19" t="str">
        <f>IFERROR(__xludf.DUMMYFUNCTION("""COMPUTED_VALUE"""),"AR10437")</f>
        <v>AR10437</v>
      </c>
      <c r="D68" s="19" t="str">
        <f>IFERROR(__xludf.DUMMYFUNCTION("""COMPUTED_VALUE"""),"LLOO Hijuela Nuñez Gutierrez")</f>
        <v>LLOO Hijuela Nuñez Gutierrez</v>
      </c>
      <c r="E68" s="19" t="str">
        <f>IFERROR(__xludf.DUMMYFUNCTION("""COMPUTED_VALUE"""),"SITIO RFI")</f>
        <v>SITIO RFI</v>
      </c>
      <c r="F68" s="19" t="str">
        <f>IFERROR(__xludf.DUMMYFUNCTION("""COMPUTED_VALUE"""),"RFI")</f>
        <v>RFI</v>
      </c>
      <c r="G68" s="19" t="str">
        <f>IFERROR(__xludf.DUMMYFUNCTION("""COMPUTED_VALUE"""),"AS60")</f>
        <v>AS60</v>
      </c>
      <c r="H68" s="19" t="str">
        <f>IFERROR(__xludf.DUMMYFUNCTION("""COMPUTED_VALUE"""),"MT")</f>
        <v>MT</v>
      </c>
      <c r="I68" s="19" t="str">
        <f>IFERROR(__xludf.DUMMYFUNCTION("""COMPUTED_VALUE"""),"Entregada")</f>
        <v>Entregada</v>
      </c>
      <c r="J68" s="20">
        <f>IFERROR(__xludf.DUMMYFUNCTION("""COMPUTED_VALUE"""),44642.0)</f>
        <v>44642</v>
      </c>
      <c r="K68" s="19" t="str">
        <f>IFERROR(__xludf.DUMMYFUNCTION("""COMPUTED_VALUE"""),"Entregada")</f>
        <v>Entregada</v>
      </c>
      <c r="L68" s="20">
        <f>IFERROR(__xludf.DUMMYFUNCTION("""COMPUTED_VALUE"""),44649.0)</f>
        <v>44649</v>
      </c>
      <c r="M68" s="19" t="str">
        <f>IFERROR(__xludf.DUMMYFUNCTION("""COMPUTED_VALUE"""),"PCM")</f>
        <v>PCM</v>
      </c>
      <c r="N68" s="19" t="str">
        <f>IFERROR(__xludf.DUMMYFUNCTION("""COMPUTED_VALUE"""),"PRIORIDAD 1 Q3 2023 OCTUBRE")</f>
        <v>PRIORIDAD 1 Q3 2023 OCTUBRE</v>
      </c>
    </row>
    <row r="69" ht="15.75" customHeight="1">
      <c r="A69" s="19" t="str">
        <f>IFERROR(__xludf.DUMMYFUNCTION("""COMPUTED_VALUE"""),"AB_10439")</f>
        <v>AB_10439</v>
      </c>
      <c r="B69" s="19" t="str">
        <f>IFERROR(__xludf.DUMMYFUNCTION("""COMPUTED_VALUE"""),"AB_10439_B")</f>
        <v>AB_10439_B</v>
      </c>
      <c r="C69" s="19" t="str">
        <f>IFERROR(__xludf.DUMMYFUNCTION("""COMPUTED_VALUE"""),"AR10439")</f>
        <v>AR10439</v>
      </c>
      <c r="D69" s="19" t="str">
        <f>IFERROR(__xludf.DUMMYFUNCTION("""COMPUTED_VALUE"""),"LLOO Pidima")</f>
        <v>LLOO Pidima</v>
      </c>
      <c r="E69" s="19" t="str">
        <f>IFERROR(__xludf.DUMMYFUNCTION("""COMPUTED_VALUE"""),"SITIO RFI")</f>
        <v>SITIO RFI</v>
      </c>
      <c r="F69" s="19" t="str">
        <f>IFERROR(__xludf.DUMMYFUNCTION("""COMPUTED_VALUE"""),"RFI")</f>
        <v>RFI</v>
      </c>
      <c r="G69" s="19" t="str">
        <f>IFERROR(__xludf.DUMMYFUNCTION("""COMPUTED_VALUE"""),"CV54")</f>
        <v>CV54</v>
      </c>
      <c r="H69" s="19" t="str">
        <f>IFERROR(__xludf.DUMMYFUNCTION("""COMPUTED_VALUE"""),"DEITEL")</f>
        <v>DEITEL</v>
      </c>
      <c r="I69" s="19" t="str">
        <f>IFERROR(__xludf.DUMMYFUNCTION("""COMPUTED_VALUE"""),"Entregada")</f>
        <v>Entregada</v>
      </c>
      <c r="J69" s="20">
        <f>IFERROR(__xludf.DUMMYFUNCTION("""COMPUTED_VALUE"""),44876.0)</f>
        <v>44876</v>
      </c>
      <c r="K69" s="19" t="str">
        <f>IFERROR(__xludf.DUMMYFUNCTION("""COMPUTED_VALUE"""),"Entregada")</f>
        <v>Entregada</v>
      </c>
      <c r="L69" s="20">
        <f>IFERROR(__xludf.DUMMYFUNCTION("""COMPUTED_VALUE"""),44898.0)</f>
        <v>44898</v>
      </c>
      <c r="M69" s="19" t="str">
        <f>IFERROR(__xludf.DUMMYFUNCTION("""COMPUTED_VALUE"""),"LLOO")</f>
        <v>LLOO</v>
      </c>
      <c r="N69" s="19" t="str">
        <f>IFERROR(__xludf.DUMMYFUNCTION("""COMPUTED_VALUE"""),"PRIORIDAD 1 Q3 2023 OCTUBRE")</f>
        <v>PRIORIDAD 1 Q3 2023 OCTUBRE</v>
      </c>
    </row>
    <row r="70" ht="15.75" customHeight="1">
      <c r="A70" s="19" t="str">
        <f>IFERROR(__xludf.DUMMYFUNCTION("""COMPUTED_VALUE"""),"AB_10440")</f>
        <v>AB_10440</v>
      </c>
      <c r="B70" s="19" t="str">
        <f>IFERROR(__xludf.DUMMYFUNCTION("""COMPUTED_VALUE"""),"AB_10440_C")</f>
        <v>AB_10440_C</v>
      </c>
      <c r="C70" s="19" t="str">
        <f>IFERROR(__xludf.DUMMYFUNCTION("""COMPUTED_VALUE"""),"AR10440")</f>
        <v>AR10440</v>
      </c>
      <c r="D70" s="19" t="str">
        <f>IFERROR(__xludf.DUMMYFUNCTION("""COMPUTED_VALUE"""),"LLOO Trauguen Montaña")</f>
        <v>LLOO Trauguen Montaña</v>
      </c>
      <c r="E70" s="19" t="str">
        <f>IFERROR(__xludf.DUMMYFUNCTION("""COMPUTED_VALUE"""),"SITIO RFI")</f>
        <v>SITIO RFI</v>
      </c>
      <c r="F70" s="19" t="str">
        <f>IFERROR(__xludf.DUMMYFUNCTION("""COMPUTED_VALUE"""),"RFI")</f>
        <v>RFI</v>
      </c>
      <c r="G70" s="19" t="str">
        <f>IFERROR(__xludf.DUMMYFUNCTION("""COMPUTED_VALUE"""),"CV54")</f>
        <v>CV54</v>
      </c>
      <c r="H70" s="19" t="str">
        <f>IFERROR(__xludf.DUMMYFUNCTION("""COMPUTED_VALUE"""),"MER")</f>
        <v>MER</v>
      </c>
      <c r="I70" s="19" t="str">
        <f>IFERROR(__xludf.DUMMYFUNCTION("""COMPUTED_VALUE"""),"Entregada")</f>
        <v>Entregada</v>
      </c>
      <c r="J70" s="20">
        <f>IFERROR(__xludf.DUMMYFUNCTION("""COMPUTED_VALUE"""),44715.0)</f>
        <v>44715</v>
      </c>
      <c r="K70" s="19" t="str">
        <f>IFERROR(__xludf.DUMMYFUNCTION("""COMPUTED_VALUE"""),"Entregada")</f>
        <v>Entregada</v>
      </c>
      <c r="L70" s="20">
        <f>IFERROR(__xludf.DUMMYFUNCTION("""COMPUTED_VALUE"""),44742.0)</f>
        <v>44742</v>
      </c>
      <c r="M70" s="19" t="str">
        <f>IFERROR(__xludf.DUMMYFUNCTION("""COMPUTED_VALUE"""),"PCM")</f>
        <v>PCM</v>
      </c>
      <c r="N70" s="19" t="str">
        <f>IFERROR(__xludf.DUMMYFUNCTION("""COMPUTED_VALUE"""),"PRIORIDAD 1 Q3 2023 OCTUBRE")</f>
        <v>PRIORIDAD 1 Q3 2023 OCTUBRE</v>
      </c>
    </row>
    <row r="71" ht="15.75" customHeight="1">
      <c r="A71" s="19" t="str">
        <f>IFERROR(__xludf.DUMMYFUNCTION("""COMPUTED_VALUE"""),"AB_10441")</f>
        <v>AB_10441</v>
      </c>
      <c r="B71" s="19" t="str">
        <f>IFERROR(__xludf.DUMMYFUNCTION("""COMPUTED_VALUE"""),"AB_10441_E")</f>
        <v>AB_10441_E</v>
      </c>
      <c r="C71" s="19" t="str">
        <f>IFERROR(__xludf.DUMMYFUNCTION("""COMPUTED_VALUE"""),"AR10441")</f>
        <v>AR10441</v>
      </c>
      <c r="D71" s="19" t="str">
        <f>IFERROR(__xludf.DUMMYFUNCTION("""COMPUTED_VALUE"""),"LLOO Lago Calafquen Poniente")</f>
        <v>LLOO Lago Calafquen Poniente</v>
      </c>
      <c r="E71" s="19" t="str">
        <f>IFERROR(__xludf.DUMMYFUNCTION("""COMPUTED_VALUE"""),"SITIO RFI")</f>
        <v>SITIO RFI</v>
      </c>
      <c r="F71" s="19" t="str">
        <f>IFERROR(__xludf.DUMMYFUNCTION("""COMPUTED_VALUE"""),"RFI")</f>
        <v>RFI</v>
      </c>
      <c r="G71" s="19" t="str">
        <f>IFERROR(__xludf.DUMMYFUNCTION("""COMPUTED_VALUE"""),"CV60")</f>
        <v>CV60</v>
      </c>
      <c r="H71" s="19" t="str">
        <f>IFERROR(__xludf.DUMMYFUNCTION("""COMPUTED_VALUE"""),"DEPROMET")</f>
        <v>DEPROMET</v>
      </c>
      <c r="I71" s="19" t="str">
        <f>IFERROR(__xludf.DUMMYFUNCTION("""COMPUTED_VALUE"""),"Entregada")</f>
        <v>Entregada</v>
      </c>
      <c r="J71" s="20">
        <f>IFERROR(__xludf.DUMMYFUNCTION("""COMPUTED_VALUE"""),44839.0)</f>
        <v>44839</v>
      </c>
      <c r="K71" s="19" t="str">
        <f>IFERROR(__xludf.DUMMYFUNCTION("""COMPUTED_VALUE"""),"Entregada")</f>
        <v>Entregada</v>
      </c>
      <c r="L71" s="20">
        <f>IFERROR(__xludf.DUMMYFUNCTION("""COMPUTED_VALUE"""),44861.0)</f>
        <v>44861</v>
      </c>
      <c r="M71" s="19" t="str">
        <f>IFERROR(__xludf.DUMMYFUNCTION("""COMPUTED_VALUE"""),"LLOO")</f>
        <v>LLOO</v>
      </c>
      <c r="N71" s="19" t="str">
        <f>IFERROR(__xludf.DUMMYFUNCTION("""COMPUTED_VALUE"""),"PRIORIDAD 1 Q3 2023 OCTUBRE")</f>
        <v>PRIORIDAD 1 Q3 2023 OCTUBRE</v>
      </c>
    </row>
    <row r="72" ht="15.75" customHeight="1">
      <c r="A72" s="19" t="str">
        <f>IFERROR(__xludf.DUMMYFUNCTION("""COMPUTED_VALUE"""),"AB_10446")</f>
        <v>AB_10446</v>
      </c>
      <c r="B72" s="19" t="str">
        <f>IFERROR(__xludf.DUMMYFUNCTION("""COMPUTED_VALUE"""),"AB_10446_A")</f>
        <v>AB_10446_A</v>
      </c>
      <c r="C72" s="19" t="str">
        <f>IFERROR(__xludf.DUMMYFUNCTION("""COMPUTED_VALUE"""),"AR10446")</f>
        <v>AR10446</v>
      </c>
      <c r="D72" s="19" t="str">
        <f>IFERROR(__xludf.DUMMYFUNCTION("""COMPUTED_VALUE"""),"LLOO Cholchol Poniente")</f>
        <v>LLOO Cholchol Poniente</v>
      </c>
      <c r="E72" s="19" t="str">
        <f>IFERROR(__xludf.DUMMYFUNCTION("""COMPUTED_VALUE"""),"SITIO RFI")</f>
        <v>SITIO RFI</v>
      </c>
      <c r="F72" s="19" t="str">
        <f>IFERROR(__xludf.DUMMYFUNCTION("""COMPUTED_VALUE"""),"RFI")</f>
        <v>RFI</v>
      </c>
      <c r="G72" s="19" t="str">
        <f>IFERROR(__xludf.DUMMYFUNCTION("""COMPUTED_VALUE"""),"AS60")</f>
        <v>AS60</v>
      </c>
      <c r="H72" s="19" t="str">
        <f>IFERROR(__xludf.DUMMYFUNCTION("""COMPUTED_VALUE"""),"MER")</f>
        <v>MER</v>
      </c>
      <c r="I72" s="19" t="str">
        <f>IFERROR(__xludf.DUMMYFUNCTION("""COMPUTED_VALUE"""),"Entregada")</f>
        <v>Entregada</v>
      </c>
      <c r="J72" s="20">
        <f>IFERROR(__xludf.DUMMYFUNCTION("""COMPUTED_VALUE"""),44622.0)</f>
        <v>44622</v>
      </c>
      <c r="K72" s="19" t="str">
        <f>IFERROR(__xludf.DUMMYFUNCTION("""COMPUTED_VALUE"""),"Entregada")</f>
        <v>Entregada</v>
      </c>
      <c r="L72" s="20">
        <f>IFERROR(__xludf.DUMMYFUNCTION("""COMPUTED_VALUE"""),44617.0)</f>
        <v>44617</v>
      </c>
      <c r="M72" s="19" t="str">
        <f>IFERROR(__xludf.DUMMYFUNCTION("""COMPUTED_VALUE"""),"PCM")</f>
        <v>PCM</v>
      </c>
      <c r="N72" s="19" t="str">
        <f>IFERROR(__xludf.DUMMYFUNCTION("""COMPUTED_VALUE"""),"PRIORIDAD 1 Q3 2023 OCTUBRE")</f>
        <v>PRIORIDAD 1 Q3 2023 OCTUBRE</v>
      </c>
    </row>
    <row r="73" ht="15.75" customHeight="1">
      <c r="A73" s="19" t="str">
        <f>IFERROR(__xludf.DUMMYFUNCTION("""COMPUTED_VALUE"""),"AB_10447")</f>
        <v>AB_10447</v>
      </c>
      <c r="B73" s="19" t="str">
        <f>IFERROR(__xludf.DUMMYFUNCTION("""COMPUTED_VALUE"""),"AB_10447_C")</f>
        <v>AB_10447_C</v>
      </c>
      <c r="C73" s="19" t="str">
        <f>IFERROR(__xludf.DUMMYFUNCTION("""COMPUTED_VALUE"""),"AR10447")</f>
        <v>AR10447</v>
      </c>
      <c r="D73" s="19" t="str">
        <f>IFERROR(__xludf.DUMMYFUNCTION("""COMPUTED_VALUE"""),"LLOO Puerto Saavedra")</f>
        <v>LLOO Puerto Saavedra</v>
      </c>
      <c r="E73" s="19" t="str">
        <f>IFERROR(__xludf.DUMMYFUNCTION("""COMPUTED_VALUE"""),"SITIO RFI")</f>
        <v>SITIO RFI</v>
      </c>
      <c r="F73" s="19" t="str">
        <f>IFERROR(__xludf.DUMMYFUNCTION("""COMPUTED_VALUE"""),"RFI")</f>
        <v>RFI</v>
      </c>
      <c r="G73" s="19" t="str">
        <f>IFERROR(__xludf.DUMMYFUNCTION("""COMPUTED_VALUE"""),"AS72")</f>
        <v>AS72</v>
      </c>
      <c r="H73" s="19" t="str">
        <f>IFERROR(__xludf.DUMMYFUNCTION("""COMPUTED_VALUE"""),"MER")</f>
        <v>MER</v>
      </c>
      <c r="I73" s="19" t="str">
        <f>IFERROR(__xludf.DUMMYFUNCTION("""COMPUTED_VALUE"""),"Entregada")</f>
        <v>Entregada</v>
      </c>
      <c r="J73" s="20">
        <f>IFERROR(__xludf.DUMMYFUNCTION("""COMPUTED_VALUE"""),44715.0)</f>
        <v>44715</v>
      </c>
      <c r="K73" s="19" t="str">
        <f>IFERROR(__xludf.DUMMYFUNCTION("""COMPUTED_VALUE"""),"Entregada")</f>
        <v>Entregada</v>
      </c>
      <c r="L73" s="20">
        <f>IFERROR(__xludf.DUMMYFUNCTION("""COMPUTED_VALUE"""),44729.0)</f>
        <v>44729</v>
      </c>
      <c r="M73" s="19" t="str">
        <f>IFERROR(__xludf.DUMMYFUNCTION("""COMPUTED_VALUE"""),"PCM")</f>
        <v>PCM</v>
      </c>
      <c r="N73" s="19" t="str">
        <f>IFERROR(__xludf.DUMMYFUNCTION("""COMPUTED_VALUE"""),"PRIORIDAD 1 Q3 2023 OCTUBRE")</f>
        <v>PRIORIDAD 1 Q3 2023 OCTUBRE</v>
      </c>
    </row>
    <row r="74" ht="15.75" customHeight="1">
      <c r="A74" s="19" t="str">
        <f>IFERROR(__xludf.DUMMYFUNCTION("""COMPUTED_VALUE"""),"AB_10448")</f>
        <v>AB_10448</v>
      </c>
      <c r="B74" s="19" t="str">
        <f>IFERROR(__xludf.DUMMYFUNCTION("""COMPUTED_VALUE"""),"AB_10448_A")</f>
        <v>AB_10448_A</v>
      </c>
      <c r="C74" s="19" t="str">
        <f>IFERROR(__xludf.DUMMYFUNCTION("""COMPUTED_VALUE"""),"AR10448")</f>
        <v>AR10448</v>
      </c>
      <c r="D74" s="19" t="str">
        <f>IFERROR(__xludf.DUMMYFUNCTION("""COMPUTED_VALUE"""),"LLOO Ruta Galvarino - Cholchol")</f>
        <v>LLOO Ruta Galvarino - Cholchol</v>
      </c>
      <c r="E74" s="19" t="str">
        <f>IFERROR(__xludf.DUMMYFUNCTION("""COMPUTED_VALUE"""),"SITIO RFI")</f>
        <v>SITIO RFI</v>
      </c>
      <c r="F74" s="19" t="str">
        <f>IFERROR(__xludf.DUMMYFUNCTION("""COMPUTED_VALUE"""),"RFI")</f>
        <v>RFI</v>
      </c>
      <c r="G74" s="19" t="str">
        <f>IFERROR(__xludf.DUMMYFUNCTION("""COMPUTED_VALUE"""),"CV60")</f>
        <v>CV60</v>
      </c>
      <c r="H74" s="19" t="str">
        <f>IFERROR(__xludf.DUMMYFUNCTION("""COMPUTED_VALUE"""),"DEPROMET")</f>
        <v>DEPROMET</v>
      </c>
      <c r="I74" s="19" t="str">
        <f>IFERROR(__xludf.DUMMYFUNCTION("""COMPUTED_VALUE"""),"Entregada")</f>
        <v>Entregada</v>
      </c>
      <c r="J74" s="20">
        <f>IFERROR(__xludf.DUMMYFUNCTION("""COMPUTED_VALUE"""),44708.0)</f>
        <v>44708</v>
      </c>
      <c r="K74" s="19" t="str">
        <f>IFERROR(__xludf.DUMMYFUNCTION("""COMPUTED_VALUE"""),"Entregada")</f>
        <v>Entregada</v>
      </c>
      <c r="L74" s="20">
        <f>IFERROR(__xludf.DUMMYFUNCTION("""COMPUTED_VALUE"""),44771.0)</f>
        <v>44771</v>
      </c>
      <c r="M74" s="19" t="str">
        <f>IFERROR(__xludf.DUMMYFUNCTION("""COMPUTED_VALUE"""),"PCM")</f>
        <v>PCM</v>
      </c>
      <c r="N74" s="19" t="str">
        <f>IFERROR(__xludf.DUMMYFUNCTION("""COMPUTED_VALUE"""),"PRIORIDAD 1 Q3 2023 OCTUBRE")</f>
        <v>PRIORIDAD 1 Q3 2023 OCTUBRE</v>
      </c>
    </row>
    <row r="75" ht="15.75" customHeight="1">
      <c r="A75" s="19" t="str">
        <f>IFERROR(__xludf.DUMMYFUNCTION("""COMPUTED_VALUE"""),"AB_10559")</f>
        <v>AB_10559</v>
      </c>
      <c r="B75" s="19" t="str">
        <f>IFERROR(__xludf.DUMMYFUNCTION("""COMPUTED_VALUE"""),"AB_10559_A")</f>
        <v>AB_10559_A</v>
      </c>
      <c r="C75" s="19" t="str">
        <f>IFERROR(__xludf.DUMMYFUNCTION("""COMPUTED_VALUE"""),"AR10559")</f>
        <v>AR10559</v>
      </c>
      <c r="D75" s="19" t="str">
        <f>IFERROR(__xludf.DUMMYFUNCTION("""COMPUTED_VALUE"""),"RPT Caburga")</f>
        <v>RPT Caburga</v>
      </c>
      <c r="E75" s="19" t="str">
        <f>IFERROR(__xludf.DUMMYFUNCTION("""COMPUTED_VALUE"""),"SITIO EN CONSTRUCCION")</f>
        <v>SITIO EN CONSTRUCCION</v>
      </c>
      <c r="F75" s="19" t="str">
        <f>IFERROR(__xludf.DUMMYFUNCTION("""COMPUTED_VALUE"""),"HORMIGONADO")</f>
        <v>HORMIGONADO</v>
      </c>
      <c r="G75" s="19" t="str">
        <f>IFERROR(__xludf.DUMMYFUNCTION("""COMPUTED_VALUE"""),"AS60")</f>
        <v>AS60</v>
      </c>
      <c r="H75" s="19" t="str">
        <f>IFERROR(__xludf.DUMMYFUNCTION("""COMPUTED_VALUE"""),"MER")</f>
        <v>MER</v>
      </c>
      <c r="I75" s="19" t="str">
        <f>IFERROR(__xludf.DUMMYFUNCTION("""COMPUTED_VALUE"""),"Entregada")</f>
        <v>Entregada</v>
      </c>
      <c r="J75" s="20">
        <f>IFERROR(__xludf.DUMMYFUNCTION("""COMPUTED_VALUE"""),44876.0)</f>
        <v>44876</v>
      </c>
      <c r="K75" s="19" t="str">
        <f>IFERROR(__xludf.DUMMYFUNCTION("""COMPUTED_VALUE"""),"Entregada")</f>
        <v>Entregada</v>
      </c>
      <c r="L75" s="20">
        <f>IFERROR(__xludf.DUMMYFUNCTION("""COMPUTED_VALUE"""),44904.0)</f>
        <v>44904</v>
      </c>
      <c r="M75" s="19" t="str">
        <f>IFERROR(__xludf.DUMMYFUNCTION("""COMPUTED_VALUE"""),"LLOO_3")</f>
        <v>LLOO_3</v>
      </c>
      <c r="N75" s="19" t="str">
        <f>IFERROR(__xludf.DUMMYFUNCTION("""COMPUTED_VALUE"""),"PRIORIDAD 3 Q1 2024 MARZO")</f>
        <v>PRIORIDAD 3 Q1 2024 MARZO</v>
      </c>
    </row>
    <row r="76" ht="15.75" customHeight="1">
      <c r="A76" s="19" t="str">
        <f>IFERROR(__xludf.DUMMYFUNCTION("""COMPUTED_VALUE"""),"AB_10593")</f>
        <v>AB_10593</v>
      </c>
      <c r="B76" s="19" t="str">
        <f>IFERROR(__xludf.DUMMYFUNCTION("""COMPUTED_VALUE"""),"AB_10593_B")</f>
        <v>AB_10593_B</v>
      </c>
      <c r="C76" s="19" t="str">
        <f>IFERROR(__xludf.DUMMYFUNCTION("""COMPUTED_VALUE"""),"AR10593")</f>
        <v>AR10593</v>
      </c>
      <c r="D76" s="19" t="str">
        <f>IFERROR(__xludf.DUMMYFUNCTION("""COMPUTED_VALUE"""),"RPT Lonquimay")</f>
        <v>RPT Lonquimay</v>
      </c>
      <c r="E76" s="19" t="str">
        <f>IFERROR(__xludf.DUMMYFUNCTION("""COMPUTED_VALUE"""),"SITIO RFI")</f>
        <v>SITIO RFI</v>
      </c>
      <c r="F76" s="19" t="str">
        <f>IFERROR(__xludf.DUMMYFUNCTION("""COMPUTED_VALUE"""),"RFI")</f>
        <v>RFI</v>
      </c>
      <c r="G76" s="19" t="str">
        <f>IFERROR(__xludf.DUMMYFUNCTION("""COMPUTED_VALUE"""),"AS42")</f>
        <v>AS42</v>
      </c>
      <c r="H76" s="19" t="str">
        <f>IFERROR(__xludf.DUMMYFUNCTION("""COMPUTED_VALUE"""),"JTI")</f>
        <v>JTI</v>
      </c>
      <c r="I76" s="19" t="str">
        <f>IFERROR(__xludf.DUMMYFUNCTION("""COMPUTED_VALUE"""),"Entregada")</f>
        <v>Entregada</v>
      </c>
      <c r="J76" s="20">
        <f>IFERROR(__xludf.DUMMYFUNCTION("""COMPUTED_VALUE"""),44574.0)</f>
        <v>44574</v>
      </c>
      <c r="K76" s="19" t="str">
        <f>IFERROR(__xludf.DUMMYFUNCTION("""COMPUTED_VALUE"""),"Entregada")</f>
        <v>Entregada</v>
      </c>
      <c r="L76" s="20">
        <f>IFERROR(__xludf.DUMMYFUNCTION("""COMPUTED_VALUE"""),44571.0)</f>
        <v>44571</v>
      </c>
      <c r="M76" s="19" t="str">
        <f>IFERROR(__xludf.DUMMYFUNCTION("""COMPUTED_VALUE"""),"PCM_3")</f>
        <v>PCM_3</v>
      </c>
      <c r="N76" s="19" t="str">
        <f>IFERROR(__xludf.DUMMYFUNCTION("""COMPUTED_VALUE"""),"PRIORIDAD 3 Q1 2024 MARZO")</f>
        <v>PRIORIDAD 3 Q1 2024 MARZO</v>
      </c>
    </row>
    <row r="77" ht="15.75" customHeight="1">
      <c r="A77" s="19" t="str">
        <f>IFERROR(__xludf.DUMMYFUNCTION("""COMPUTED_VALUE"""),"AB_10656")</f>
        <v>AB_10656</v>
      </c>
      <c r="B77" s="19" t="str">
        <f>IFERROR(__xludf.DUMMYFUNCTION("""COMPUTED_VALUE"""),"AB_10656_A")</f>
        <v>AB_10656_A</v>
      </c>
      <c r="C77" s="19" t="str">
        <f>IFERROR(__xludf.DUMMYFUNCTION("""COMPUTED_VALUE"""),"AR10656")</f>
        <v>AR10656</v>
      </c>
      <c r="D77" s="19" t="str">
        <f>IFERROR(__xludf.DUMMYFUNCTION("""COMPUTED_VALUE"""),"Nueva Imperial Cochrane NF RU")</f>
        <v>Nueva Imperial Cochrane NF RU</v>
      </c>
      <c r="E77" s="19" t="str">
        <f>IFERROR(__xludf.DUMMYFUNCTION("""COMPUTED_VALUE"""),"SITIO RFI")</f>
        <v>SITIO RFI</v>
      </c>
      <c r="F77" s="19" t="str">
        <f>IFERROR(__xludf.DUMMYFUNCTION("""COMPUTED_VALUE"""),"RFI")</f>
        <v>RFI</v>
      </c>
      <c r="G77" s="19" t="str">
        <f>IFERROR(__xludf.DUMMYFUNCTION("""COMPUTED_VALUE"""),"MP R30")</f>
        <v>MP R30</v>
      </c>
      <c r="H77" s="19" t="str">
        <f>IFERROR(__xludf.DUMMYFUNCTION("""COMPUTED_VALUE"""),"MER")</f>
        <v>MER</v>
      </c>
      <c r="I77" s="19" t="str">
        <f>IFERROR(__xludf.DUMMYFUNCTION("""COMPUTED_VALUE"""),"Entregada")</f>
        <v>Entregada</v>
      </c>
      <c r="J77" s="20">
        <f>IFERROR(__xludf.DUMMYFUNCTION("""COMPUTED_VALUE"""),44673.0)</f>
        <v>44673</v>
      </c>
      <c r="K77" s="19" t="str">
        <f>IFERROR(__xludf.DUMMYFUNCTION("""COMPUTED_VALUE"""),"Entregada")</f>
        <v>Entregada</v>
      </c>
      <c r="L77" s="20">
        <f>IFERROR(__xludf.DUMMYFUNCTION("""COMPUTED_VALUE"""),44680.0)</f>
        <v>44680</v>
      </c>
      <c r="M77" s="19" t="str">
        <f>IFERROR(__xludf.DUMMYFUNCTION("""COMPUTED_VALUE"""),"PCM")</f>
        <v>PCM</v>
      </c>
      <c r="N77" s="19" t="str">
        <f>IFERROR(__xludf.DUMMYFUNCTION("""COMPUTED_VALUE"""),"PRIORIDAD 1 Q3 2023 OCTUBRE")</f>
        <v>PRIORIDAD 1 Q3 2023 OCTUBRE</v>
      </c>
    </row>
    <row r="78" ht="15.75" customHeight="1">
      <c r="A78" s="19" t="str">
        <f>IFERROR(__xludf.DUMMYFUNCTION("""COMPUTED_VALUE"""),"AB_11147")</f>
        <v>AB_11147</v>
      </c>
      <c r="B78" s="19" t="str">
        <f>IFERROR(__xludf.DUMMYFUNCTION("""COMPUTED_VALUE"""),"AB_11147_B")</f>
        <v>AB_11147_B</v>
      </c>
      <c r="C78" s="19" t="str">
        <f>IFERROR(__xludf.DUMMYFUNCTION("""COMPUTED_VALUE"""),"AR11147")</f>
        <v>AR11147</v>
      </c>
      <c r="D78" s="19" t="str">
        <f>IFERROR(__xludf.DUMMYFUNCTION("""COMPUTED_VALUE"""),"RPT Quimeyco Opción N°2")</f>
        <v>RPT Quimeyco Opción N°2</v>
      </c>
      <c r="E78" s="19" t="str">
        <f>IFERROR(__xludf.DUMMYFUNCTION("""COMPUTED_VALUE"""),"SITIO PENDIENTE")</f>
        <v>SITIO PENDIENTE</v>
      </c>
      <c r="F78" s="19"/>
      <c r="G78" s="19" t="str">
        <f>IFERROR(__xludf.DUMMYFUNCTION("""COMPUTED_VALUE"""),"CV48")</f>
        <v>CV48</v>
      </c>
      <c r="H78" s="19" t="str">
        <f>IFERROR(__xludf.DUMMYFUNCTION("""COMPUTED_VALUE"""),"")</f>
        <v/>
      </c>
      <c r="I78" s="19" t="str">
        <f>IFERROR(__xludf.DUMMYFUNCTION("""COMPUTED_VALUE"""),"")</f>
        <v/>
      </c>
      <c r="J78" s="20" t="str">
        <f>IFERROR(__xludf.DUMMYFUNCTION("""COMPUTED_VALUE"""),"")</f>
        <v/>
      </c>
      <c r="K78" s="19" t="str">
        <f>IFERROR(__xludf.DUMMYFUNCTION("""COMPUTED_VALUE"""),"")</f>
        <v/>
      </c>
      <c r="L78" s="20" t="str">
        <f>IFERROR(__xludf.DUMMYFUNCTION("""COMPUTED_VALUE"""),"")</f>
        <v/>
      </c>
      <c r="M78" s="19" t="str">
        <f>IFERROR(__xludf.DUMMYFUNCTION("""COMPUTED_VALUE"""),"LLOO_3")</f>
        <v>LLOO_3</v>
      </c>
      <c r="N78" s="19" t="str">
        <f>IFERROR(__xludf.DUMMYFUNCTION("""COMPUTED_VALUE"""),"PRIORIDAD 3 Q1 2024 MARZO")</f>
        <v>PRIORIDAD 3 Q1 2024 MARZO</v>
      </c>
    </row>
    <row r="79" ht="15.75" customHeight="1">
      <c r="A79" s="19" t="str">
        <f>IFERROR(__xludf.DUMMYFUNCTION("""COMPUTED_VALUE"""),"AB_2169")</f>
        <v>AB_2169</v>
      </c>
      <c r="B79" s="19" t="str">
        <f>IFERROR(__xludf.DUMMYFUNCTION("""COMPUTED_VALUE"""),"AB_2169_D")</f>
        <v>AB_2169_D</v>
      </c>
      <c r="C79" s="19" t="str">
        <f>IFERROR(__xludf.DUMMYFUNCTION("""COMPUTED_VALUE"""),"AR2169")</f>
        <v>AR2169</v>
      </c>
      <c r="D79" s="19" t="str">
        <f>IFERROR(__xludf.DUMMYFUNCTION("""COMPUTED_VALUE"""),"Cerro Choique")</f>
        <v>Cerro Choique</v>
      </c>
      <c r="E79" s="19" t="str">
        <f>IFERROR(__xludf.DUMMYFUNCTION("""COMPUTED_VALUE"""),"EN VALIDACION COMPRAS")</f>
        <v>EN VALIDACION COMPRAS</v>
      </c>
      <c r="F79" s="19" t="str">
        <f>IFERROR(__xludf.DUMMYFUNCTION("""COMPUTED_VALUE"""),"EXCAVACION")</f>
        <v>EXCAVACION</v>
      </c>
      <c r="G79" s="19" t="str">
        <f>IFERROR(__xludf.DUMMYFUNCTION("""COMPUTED_VALUE"""),"AS48")</f>
        <v>AS48</v>
      </c>
      <c r="H79" s="19" t="str">
        <f>IFERROR(__xludf.DUMMYFUNCTION("""COMPUTED_VALUE"""),"MER")</f>
        <v>MER</v>
      </c>
      <c r="I79" s="19" t="str">
        <f>IFERROR(__xludf.DUMMYFUNCTION("""COMPUTED_VALUE"""),"Terminada")</f>
        <v>Terminada</v>
      </c>
      <c r="J79" s="20">
        <f>IFERROR(__xludf.DUMMYFUNCTION("""COMPUTED_VALUE"""),44722.0)</f>
        <v>44722</v>
      </c>
      <c r="K79" s="19" t="str">
        <f>IFERROR(__xludf.DUMMYFUNCTION("""COMPUTED_VALUE"""),"Por pintar ")</f>
        <v>Por pintar </v>
      </c>
      <c r="L79" s="20">
        <f>IFERROR(__xludf.DUMMYFUNCTION("""COMPUTED_VALUE"""),44762.0)</f>
        <v>44762</v>
      </c>
      <c r="M79" s="19" t="str">
        <f>IFERROR(__xludf.DUMMYFUNCTION("""COMPUTED_VALUE"""),"PCM")</f>
        <v>PCM</v>
      </c>
      <c r="N79" s="19" t="str">
        <f>IFERROR(__xludf.DUMMYFUNCTION("""COMPUTED_VALUE"""),"PRIORIDAD 1 Q3 2023 OCTUBRE")</f>
        <v>PRIORIDAD 1 Q3 2023 OCTUBRE</v>
      </c>
    </row>
    <row r="80" ht="15.75" customHeight="1">
      <c r="A80" s="19" t="str">
        <f>IFERROR(__xludf.DUMMYFUNCTION("""COMPUTED_VALUE"""),"AB_2390")</f>
        <v>AB_2390</v>
      </c>
      <c r="B80" s="19" t="str">
        <f>IFERROR(__xludf.DUMMYFUNCTION("""COMPUTED_VALUE"""),"AB_2390_D")</f>
        <v>AB_2390_D</v>
      </c>
      <c r="C80" s="19" t="str">
        <f>IFERROR(__xludf.DUMMYFUNCTION("""COMPUTED_VALUE"""),"AR2390")</f>
        <v>AR2390</v>
      </c>
      <c r="D80" s="19" t="str">
        <f>IFERROR(__xludf.DUMMYFUNCTION("""COMPUTED_VALUE"""),"Los Sauces")</f>
        <v>Los Sauces</v>
      </c>
      <c r="E80" s="19" t="str">
        <f>IFERROR(__xludf.DUMMYFUNCTION("""COMPUTED_VALUE"""),"SITIO RFI")</f>
        <v>SITIO RFI</v>
      </c>
      <c r="F80" s="19" t="str">
        <f>IFERROR(__xludf.DUMMYFUNCTION("""COMPUTED_VALUE"""),"RFI")</f>
        <v>RFI</v>
      </c>
      <c r="G80" s="19" t="str">
        <f>IFERROR(__xludf.DUMMYFUNCTION("""COMPUTED_VALUE"""),"AS42")</f>
        <v>AS42</v>
      </c>
      <c r="H80" s="19" t="str">
        <f>IFERROR(__xludf.DUMMYFUNCTION("""COMPUTED_VALUE"""),"DEITEL")</f>
        <v>DEITEL</v>
      </c>
      <c r="I80" s="19" t="str">
        <f>IFERROR(__xludf.DUMMYFUNCTION("""COMPUTED_VALUE"""),"Entregada")</f>
        <v>Entregada</v>
      </c>
      <c r="J80" s="20">
        <f>IFERROR(__xludf.DUMMYFUNCTION("""COMPUTED_VALUE"""),44581.0)</f>
        <v>44581</v>
      </c>
      <c r="K80" s="19" t="str">
        <f>IFERROR(__xludf.DUMMYFUNCTION("""COMPUTED_VALUE"""),"Entregada")</f>
        <v>Entregada</v>
      </c>
      <c r="L80" s="20">
        <f>IFERROR(__xludf.DUMMYFUNCTION("""COMPUTED_VALUE"""),44575.0)</f>
        <v>44575</v>
      </c>
      <c r="M80" s="19" t="str">
        <f>IFERROR(__xludf.DUMMYFUNCTION("""COMPUTED_VALUE"""),"PCM")</f>
        <v>PCM</v>
      </c>
      <c r="N80" s="19" t="str">
        <f>IFERROR(__xludf.DUMMYFUNCTION("""COMPUTED_VALUE"""),"PRIORIDAD 1 Q3 2023 OCTUBRE")</f>
        <v>PRIORIDAD 1 Q3 2023 OCTUBRE</v>
      </c>
    </row>
    <row r="81" ht="15.75" customHeight="1">
      <c r="A81" s="19" t="str">
        <f>IFERROR(__xludf.DUMMYFUNCTION("""COMPUTED_VALUE"""),"AB_2473")</f>
        <v>AB_2473</v>
      </c>
      <c r="B81" s="19" t="str">
        <f>IFERROR(__xludf.DUMMYFUNCTION("""COMPUTED_VALUE"""),"AB_2473_C")</f>
        <v>AB_2473_C</v>
      </c>
      <c r="C81" s="19" t="str">
        <f>IFERROR(__xludf.DUMMYFUNCTION("""COMPUTED_VALUE"""),"AR2473")</f>
        <v>AR2473</v>
      </c>
      <c r="D81" s="19" t="str">
        <f>IFERROR(__xludf.DUMMYFUNCTION("""COMPUTED_VALUE"""),"Capitan Pastene Rural")</f>
        <v>Capitan Pastene Rural</v>
      </c>
      <c r="E81" s="19" t="str">
        <f>IFERROR(__xludf.DUMMYFUNCTION("""COMPUTED_VALUE"""),"SITIO RFI")</f>
        <v>SITIO RFI</v>
      </c>
      <c r="F81" s="19" t="str">
        <f>IFERROR(__xludf.DUMMYFUNCTION("""COMPUTED_VALUE"""),"RFI")</f>
        <v>RFI</v>
      </c>
      <c r="G81" s="19" t="str">
        <f>IFERROR(__xludf.DUMMYFUNCTION("""COMPUTED_VALUE"""),"AS42")</f>
        <v>AS42</v>
      </c>
      <c r="H81" s="19" t="str">
        <f>IFERROR(__xludf.DUMMYFUNCTION("""COMPUTED_VALUE"""),"MER")</f>
        <v>MER</v>
      </c>
      <c r="I81" s="19" t="str">
        <f>IFERROR(__xludf.DUMMYFUNCTION("""COMPUTED_VALUE"""),"Entregada")</f>
        <v>Entregada</v>
      </c>
      <c r="J81" s="20">
        <f>IFERROR(__xludf.DUMMYFUNCTION("""COMPUTED_VALUE"""),44631.0)</f>
        <v>44631</v>
      </c>
      <c r="K81" s="19" t="str">
        <f>IFERROR(__xludf.DUMMYFUNCTION("""COMPUTED_VALUE"""),"Entregada")</f>
        <v>Entregada</v>
      </c>
      <c r="L81" s="20">
        <f>IFERROR(__xludf.DUMMYFUNCTION("""COMPUTED_VALUE"""),44617.0)</f>
        <v>44617</v>
      </c>
      <c r="M81" s="19" t="str">
        <f>IFERROR(__xludf.DUMMYFUNCTION("""COMPUTED_VALUE"""),"PCM")</f>
        <v>PCM</v>
      </c>
      <c r="N81" s="19" t="str">
        <f>IFERROR(__xludf.DUMMYFUNCTION("""COMPUTED_VALUE"""),"PRIORIDAD 1 Q3 2023 OCTUBRE")</f>
        <v>PRIORIDAD 1 Q3 2023 OCTUBRE</v>
      </c>
    </row>
    <row r="82" ht="15.75" customHeight="1">
      <c r="A82" s="19" t="str">
        <f>IFERROR(__xludf.DUMMYFUNCTION("""COMPUTED_VALUE"""),"AB_2476")</f>
        <v>AB_2476</v>
      </c>
      <c r="B82" s="19" t="str">
        <f>IFERROR(__xludf.DUMMYFUNCTION("""COMPUTED_VALUE"""),"AB_2476_D")</f>
        <v>AB_2476_D</v>
      </c>
      <c r="C82" s="19" t="str">
        <f>IFERROR(__xludf.DUMMYFUNCTION("""COMPUTED_VALUE"""),"AR2476")</f>
        <v>AR2476</v>
      </c>
      <c r="D82" s="19" t="str">
        <f>IFERROR(__xludf.DUMMYFUNCTION("""COMPUTED_VALUE"""),"Barros Arana Pueblo")</f>
        <v>Barros Arana Pueblo</v>
      </c>
      <c r="E82" s="19" t="str">
        <f>IFERROR(__xludf.DUMMYFUNCTION("""COMPUTED_VALUE"""),"SITIO RFI")</f>
        <v>SITIO RFI</v>
      </c>
      <c r="F82" s="19" t="str">
        <f>IFERROR(__xludf.DUMMYFUNCTION("""COMPUTED_VALUE"""),"RFI")</f>
        <v>RFI</v>
      </c>
      <c r="G82" s="19" t="str">
        <f>IFERROR(__xludf.DUMMYFUNCTION("""COMPUTED_VALUE"""),"AS48")</f>
        <v>AS48</v>
      </c>
      <c r="H82" s="19" t="str">
        <f>IFERROR(__xludf.DUMMYFUNCTION("""COMPUTED_VALUE"""),"MER")</f>
        <v>MER</v>
      </c>
      <c r="I82" s="19" t="str">
        <f>IFERROR(__xludf.DUMMYFUNCTION("""COMPUTED_VALUE"""),"Entregada")</f>
        <v>Entregada</v>
      </c>
      <c r="J82" s="20">
        <f>IFERROR(__xludf.DUMMYFUNCTION("""COMPUTED_VALUE"""),44687.0)</f>
        <v>44687</v>
      </c>
      <c r="K82" s="19" t="str">
        <f>IFERROR(__xludf.DUMMYFUNCTION("""COMPUTED_VALUE"""),"Entregada")</f>
        <v>Entregada</v>
      </c>
      <c r="L82" s="20">
        <f>IFERROR(__xludf.DUMMYFUNCTION("""COMPUTED_VALUE"""),44722.0)</f>
        <v>44722</v>
      </c>
      <c r="M82" s="19" t="str">
        <f>IFERROR(__xludf.DUMMYFUNCTION("""COMPUTED_VALUE"""),"PCM")</f>
        <v>PCM</v>
      </c>
      <c r="N82" s="19" t="str">
        <f>IFERROR(__xludf.DUMMYFUNCTION("""COMPUTED_VALUE"""),"PRIORIDAD 1 Q3 2023 OCTUBRE")</f>
        <v>PRIORIDAD 1 Q3 2023 OCTUBRE</v>
      </c>
    </row>
    <row r="83" ht="15.75" customHeight="1">
      <c r="A83" s="19" t="str">
        <f>IFERROR(__xludf.DUMMYFUNCTION("""COMPUTED_VALUE"""),"AB_4019")</f>
        <v>AB_4019</v>
      </c>
      <c r="B83" s="19" t="str">
        <f>IFERROR(__xludf.DUMMYFUNCTION("""COMPUTED_VALUE"""),"AB_4019_C")</f>
        <v>AB_4019_C</v>
      </c>
      <c r="C83" s="19" t="str">
        <f>IFERROR(__xludf.DUMMYFUNCTION("""COMPUTED_VALUE"""),"AR4019")</f>
        <v>AR4019</v>
      </c>
      <c r="D83" s="19" t="str">
        <f>IFERROR(__xludf.DUMMYFUNCTION("""COMPUTED_VALUE"""),"Tijeral")</f>
        <v>Tijeral</v>
      </c>
      <c r="E83" s="19" t="str">
        <f>IFERROR(__xludf.DUMMYFUNCTION("""COMPUTED_VALUE"""),"SITIO RFI")</f>
        <v>SITIO RFI</v>
      </c>
      <c r="F83" s="19" t="str">
        <f>IFERROR(__xludf.DUMMYFUNCTION("""COMPUTED_VALUE"""),"RFI")</f>
        <v>RFI</v>
      </c>
      <c r="G83" s="19" t="str">
        <f>IFERROR(__xludf.DUMMYFUNCTION("""COMPUTED_VALUE"""),"AS60")</f>
        <v>AS60</v>
      </c>
      <c r="H83" s="19" t="str">
        <f>IFERROR(__xludf.DUMMYFUNCTION("""COMPUTED_VALUE"""),"MT")</f>
        <v>MT</v>
      </c>
      <c r="I83" s="19" t="str">
        <f>IFERROR(__xludf.DUMMYFUNCTION("""COMPUTED_VALUE"""),"Entregada")</f>
        <v>Entregada</v>
      </c>
      <c r="J83" s="20">
        <f>IFERROR(__xludf.DUMMYFUNCTION("""COMPUTED_VALUE"""),44487.0)</f>
        <v>44487</v>
      </c>
      <c r="K83" s="19" t="str">
        <f>IFERROR(__xludf.DUMMYFUNCTION("""COMPUTED_VALUE"""),"Entregada")</f>
        <v>Entregada</v>
      </c>
      <c r="L83" s="20">
        <f>IFERROR(__xludf.DUMMYFUNCTION("""COMPUTED_VALUE"""),44487.0)</f>
        <v>44487</v>
      </c>
      <c r="M83" s="19" t="str">
        <f>IFERROR(__xludf.DUMMYFUNCTION("""COMPUTED_VALUE"""),"PCM")</f>
        <v>PCM</v>
      </c>
      <c r="N83" s="19" t="str">
        <f>IFERROR(__xludf.DUMMYFUNCTION("""COMPUTED_VALUE"""),"PRIORIDAD 1 Q3 2023 OCTUBRE")</f>
        <v>PRIORIDAD 1 Q3 2023 OCTUBRE</v>
      </c>
    </row>
    <row r="84" ht="15.75" customHeight="1">
      <c r="A84" s="19" t="str">
        <f>IFERROR(__xludf.DUMMYFUNCTION("""COMPUTED_VALUE"""),"AB_5599")</f>
        <v>AB_5599</v>
      </c>
      <c r="B84" s="19" t="str">
        <f>IFERROR(__xludf.DUMMYFUNCTION("""COMPUTED_VALUE"""),"AB_5599_B")</f>
        <v>AB_5599_B</v>
      </c>
      <c r="C84" s="19" t="str">
        <f>IFERROR(__xludf.DUMMYFUNCTION("""COMPUTED_VALUE"""),"AR5599")</f>
        <v>AR5599</v>
      </c>
      <c r="D84" s="19" t="str">
        <f>IFERROR(__xludf.DUMMYFUNCTION("""COMPUTED_VALUE"""),"Trovolhue")</f>
        <v>Trovolhue</v>
      </c>
      <c r="E84" s="19" t="str">
        <f>IFERROR(__xludf.DUMMYFUNCTION("""COMPUTED_VALUE"""),"SITIO EN CONSTRUCCION")</f>
        <v>SITIO EN CONSTRUCCION</v>
      </c>
      <c r="F84" s="19" t="str">
        <f>IFERROR(__xludf.DUMMYFUNCTION("""COMPUTED_VALUE"""),"HORMIGONADO")</f>
        <v>HORMIGONADO</v>
      </c>
      <c r="G84" s="19" t="str">
        <f>IFERROR(__xludf.DUMMYFUNCTION("""COMPUTED_VALUE"""),"AS60")</f>
        <v>AS60</v>
      </c>
      <c r="H84" s="19" t="str">
        <f>IFERROR(__xludf.DUMMYFUNCTION("""COMPUTED_VALUE"""),"DEITEL")</f>
        <v>DEITEL</v>
      </c>
      <c r="I84" s="19" t="str">
        <f>IFERROR(__xludf.DUMMYFUNCTION("""COMPUTED_VALUE"""),"Entregada")</f>
        <v>Entregada</v>
      </c>
      <c r="J84" s="20">
        <f>IFERROR(__xludf.DUMMYFUNCTION("""COMPUTED_VALUE"""),44697.0)</f>
        <v>44697</v>
      </c>
      <c r="K84" s="19" t="str">
        <f>IFERROR(__xludf.DUMMYFUNCTION("""COMPUTED_VALUE"""),"Entregada")</f>
        <v>Entregada</v>
      </c>
      <c r="L84" s="20">
        <f>IFERROR(__xludf.DUMMYFUNCTION("""COMPUTED_VALUE"""),44734.0)</f>
        <v>44734</v>
      </c>
      <c r="M84" s="19" t="str">
        <f>IFERROR(__xludf.DUMMYFUNCTION("""COMPUTED_VALUE"""),"PCM")</f>
        <v>PCM</v>
      </c>
      <c r="N84" s="19" t="str">
        <f>IFERROR(__xludf.DUMMYFUNCTION("""COMPUTED_VALUE"""),"PRIORIDAD 1 Q3 2023 OCTUBRE")</f>
        <v>PRIORIDAD 1 Q3 2023 OCTUBRE</v>
      </c>
    </row>
    <row r="85" ht="15.75" customHeight="1">
      <c r="A85" s="19" t="str">
        <f>IFERROR(__xludf.DUMMYFUNCTION("""COMPUTED_VALUE"""),"AB_5757")</f>
        <v>AB_5757</v>
      </c>
      <c r="B85" s="19" t="str">
        <f>IFERROR(__xludf.DUMMYFUNCTION("""COMPUTED_VALUE"""),"AB_5757_B")</f>
        <v>AB_5757_B</v>
      </c>
      <c r="C85" s="19" t="str">
        <f>IFERROR(__xludf.DUMMYFUNCTION("""COMPUTED_VALUE"""),"AR5757")</f>
        <v>AR5757</v>
      </c>
      <c r="D85" s="19" t="str">
        <f>IFERROR(__xludf.DUMMYFUNCTION("""COMPUTED_VALUE"""),"Cerro Princesa")</f>
        <v>Cerro Princesa</v>
      </c>
      <c r="E85" s="19" t="str">
        <f>IFERROR(__xludf.DUMMYFUNCTION("""COMPUTED_VALUE"""),"SITIO EN CONSTRUCCION")</f>
        <v>SITIO EN CONSTRUCCION</v>
      </c>
      <c r="F85" s="19" t="str">
        <f>IFERROR(__xludf.DUMMYFUNCTION("""COMPUTED_VALUE"""),"MONTAJE")</f>
        <v>MONTAJE</v>
      </c>
      <c r="G85" s="19" t="str">
        <f>IFERROR(__xludf.DUMMYFUNCTION("""COMPUTED_VALUE"""),"AS60")</f>
        <v>AS60</v>
      </c>
      <c r="H85" s="19" t="str">
        <f>IFERROR(__xludf.DUMMYFUNCTION("""COMPUTED_VALUE"""),"AJ")</f>
        <v>AJ</v>
      </c>
      <c r="I85" s="19" t="str">
        <f>IFERROR(__xludf.DUMMYFUNCTION("""COMPUTED_VALUE"""),"Entregada")</f>
        <v>Entregada</v>
      </c>
      <c r="J85" s="20">
        <f>IFERROR(__xludf.DUMMYFUNCTION("""COMPUTED_VALUE"""),44624.0)</f>
        <v>44624</v>
      </c>
      <c r="K85" s="19" t="str">
        <f>IFERROR(__xludf.DUMMYFUNCTION("""COMPUTED_VALUE"""),"Entregada")</f>
        <v>Entregada</v>
      </c>
      <c r="L85" s="20">
        <f>IFERROR(__xludf.DUMMYFUNCTION("""COMPUTED_VALUE"""),44694.0)</f>
        <v>44694</v>
      </c>
      <c r="M85" s="19" t="str">
        <f>IFERROR(__xludf.DUMMYFUNCTION("""COMPUTED_VALUE"""),"PCM")</f>
        <v>PCM</v>
      </c>
      <c r="N85" s="19" t="str">
        <f>IFERROR(__xludf.DUMMYFUNCTION("""COMPUTED_VALUE"""),"PRIORIDAD 1 Q3 2023 OCTUBRE")</f>
        <v>PRIORIDAD 1 Q3 2023 OCTUBRE</v>
      </c>
    </row>
    <row r="86" ht="15.75" customHeight="1">
      <c r="A86" s="19" t="str">
        <f>IFERROR(__xludf.DUMMYFUNCTION("""COMPUTED_VALUE"""),"AB_10418")</f>
        <v>AB_10418</v>
      </c>
      <c r="B86" s="19" t="str">
        <f>IFERROR(__xludf.DUMMYFUNCTION("""COMPUTED_VALUE"""),"AB_10418_B")</f>
        <v>AB_10418_B</v>
      </c>
      <c r="C86" s="19" t="str">
        <f>IFERROR(__xludf.DUMMYFUNCTION("""COMPUTED_VALUE"""),"AR10418")</f>
        <v>AR10418</v>
      </c>
      <c r="D86" s="19" t="str">
        <f>IFERROR(__xludf.DUMMYFUNCTION("""COMPUTED_VALUE"""),"LLOO Cunco Cerro")</f>
        <v>LLOO Cunco Cerro</v>
      </c>
      <c r="E86" s="19" t="str">
        <f>IFERROR(__xludf.DUMMYFUNCTION("""COMPUTED_VALUE"""),"SITIO CONSTRUIDO")</f>
        <v>SITIO CONSTRUIDO</v>
      </c>
      <c r="F86" s="19" t="str">
        <f>IFERROR(__xludf.DUMMYFUNCTION("""COMPUTED_VALUE"""),"ENFIERRADURA")</f>
        <v>ENFIERRADURA</v>
      </c>
      <c r="G86" s="19" t="str">
        <f>IFERROR(__xludf.DUMMYFUNCTION("""COMPUTED_VALUE"""),"AS60")</f>
        <v>AS60</v>
      </c>
      <c r="H86" s="19" t="str">
        <f>IFERROR(__xludf.DUMMYFUNCTION("""COMPUTED_VALUE"""),"ADM")</f>
        <v>ADM</v>
      </c>
      <c r="I86" s="19" t="str">
        <f>IFERROR(__xludf.DUMMYFUNCTION("""COMPUTED_VALUE"""),"Terminada")</f>
        <v>Terminada</v>
      </c>
      <c r="J86" s="20">
        <f>IFERROR(__xludf.DUMMYFUNCTION("""COMPUTED_VALUE"""),44750.0)</f>
        <v>44750</v>
      </c>
      <c r="K86" s="19" t="str">
        <f>IFERROR(__xludf.DUMMYFUNCTION("""COMPUTED_VALUE"""),"Terminada")</f>
        <v>Terminada</v>
      </c>
      <c r="L86" s="20">
        <f>IFERROR(__xludf.DUMMYFUNCTION("""COMPUTED_VALUE"""),44890.0)</f>
        <v>44890</v>
      </c>
      <c r="M86" s="19" t="str">
        <f>IFERROR(__xludf.DUMMYFUNCTION("""COMPUTED_VALUE"""),"LLOO")</f>
        <v>LLOO</v>
      </c>
      <c r="N86" s="19" t="str">
        <f>IFERROR(__xludf.DUMMYFUNCTION("""COMPUTED_VALUE"""),"PRIORIDAD 1 Q3 2023 OCTUBRE")</f>
        <v>PRIORIDAD 1 Q3 2023 OCTUBRE</v>
      </c>
    </row>
    <row r="87" ht="15.75" customHeight="1">
      <c r="A87" s="19" t="str">
        <f>IFERROR(__xludf.DUMMYFUNCTION("""COMPUTED_VALUE"""),"AB_7880")</f>
        <v>AB_7880</v>
      </c>
      <c r="B87" s="19" t="str">
        <f>IFERROR(__xludf.DUMMYFUNCTION("""COMPUTED_VALUE"""),"AB_7880_C")</f>
        <v>AB_7880_C</v>
      </c>
      <c r="C87" s="19" t="str">
        <f>IFERROR(__xludf.DUMMYFUNCTION("""COMPUTED_VALUE"""),"AR7880")</f>
        <v>AR7880</v>
      </c>
      <c r="D87" s="19" t="str">
        <f>IFERROR(__xludf.DUMMYFUNCTION("""COMPUTED_VALUE"""),"Pichipellahuen")</f>
        <v>Pichipellahuen</v>
      </c>
      <c r="E87" s="19" t="str">
        <f>IFERROR(__xludf.DUMMYFUNCTION("""COMPUTED_VALUE"""),"SITIO RFI")</f>
        <v>SITIO RFI</v>
      </c>
      <c r="F87" s="19" t="str">
        <f>IFERROR(__xludf.DUMMYFUNCTION("""COMPUTED_VALUE"""),"RFI")</f>
        <v>RFI</v>
      </c>
      <c r="G87" s="19" t="str">
        <f>IFERROR(__xludf.DUMMYFUNCTION("""COMPUTED_VALUE"""),"AS42")</f>
        <v>AS42</v>
      </c>
      <c r="H87" s="19" t="str">
        <f>IFERROR(__xludf.DUMMYFUNCTION("""COMPUTED_VALUE"""),"MT")</f>
        <v>MT</v>
      </c>
      <c r="I87" s="19" t="str">
        <f>IFERROR(__xludf.DUMMYFUNCTION("""COMPUTED_VALUE"""),"Entregada")</f>
        <v>Entregada</v>
      </c>
      <c r="J87" s="20">
        <f>IFERROR(__xludf.DUMMYFUNCTION("""COMPUTED_VALUE"""),44671.0)</f>
        <v>44671</v>
      </c>
      <c r="K87" s="19" t="str">
        <f>IFERROR(__xludf.DUMMYFUNCTION("""COMPUTED_VALUE"""),"Entregada")</f>
        <v>Entregada</v>
      </c>
      <c r="L87" s="20">
        <f>IFERROR(__xludf.DUMMYFUNCTION("""COMPUTED_VALUE"""),44701.0)</f>
        <v>44701</v>
      </c>
      <c r="M87" s="19" t="str">
        <f>IFERROR(__xludf.DUMMYFUNCTION("""COMPUTED_VALUE"""),"PCM")</f>
        <v>PCM</v>
      </c>
      <c r="N87" s="19" t="str">
        <f>IFERROR(__xludf.DUMMYFUNCTION("""COMPUTED_VALUE"""),"PRIORIDAD 1 Q3 2023 OCTUBRE")</f>
        <v>PRIORIDAD 1 Q3 2023 OCTUBRE</v>
      </c>
    </row>
    <row r="88" ht="15.75" customHeight="1">
      <c r="A88" s="19" t="str">
        <f>IFERROR(__xludf.DUMMYFUNCTION("""COMPUTED_VALUE"""),"AB_8128")</f>
        <v>AB_8128</v>
      </c>
      <c r="B88" s="19" t="str">
        <f>IFERROR(__xludf.DUMMYFUNCTION("""COMPUTED_VALUE"""),"AB_8128_B")</f>
        <v>AB_8128_B</v>
      </c>
      <c r="C88" s="19" t="str">
        <f>IFERROR(__xludf.DUMMYFUNCTION("""COMPUTED_VALUE"""),"AR8128")</f>
        <v>AR8128</v>
      </c>
      <c r="D88" s="19" t="str">
        <f>IFERROR(__xludf.DUMMYFUNCTION("""COMPUTED_VALUE"""),"Mapuñaco Collipulli")</f>
        <v>Mapuñaco Collipulli</v>
      </c>
      <c r="E88" s="19" t="str">
        <f>IFERROR(__xludf.DUMMYFUNCTION("""COMPUTED_VALUE"""),"SITIO RFI")</f>
        <v>SITIO RFI</v>
      </c>
      <c r="F88" s="19" t="str">
        <f>IFERROR(__xludf.DUMMYFUNCTION("""COMPUTED_VALUE"""),"RFI")</f>
        <v>RFI</v>
      </c>
      <c r="G88" s="19" t="str">
        <f>IFERROR(__xludf.DUMMYFUNCTION("""COMPUTED_VALUE"""),"AS60")</f>
        <v>AS60</v>
      </c>
      <c r="H88" s="19" t="str">
        <f>IFERROR(__xludf.DUMMYFUNCTION("""COMPUTED_VALUE"""),"DEITEL")</f>
        <v>DEITEL</v>
      </c>
      <c r="I88" s="19" t="str">
        <f>IFERROR(__xludf.DUMMYFUNCTION("""COMPUTED_VALUE"""),"Entregada")</f>
        <v>Entregada</v>
      </c>
      <c r="J88" s="20">
        <f>IFERROR(__xludf.DUMMYFUNCTION("""COMPUTED_VALUE"""),44211.0)</f>
        <v>44211</v>
      </c>
      <c r="K88" s="19" t="str">
        <f>IFERROR(__xludf.DUMMYFUNCTION("""COMPUTED_VALUE"""),"Entregada")</f>
        <v>Entregada</v>
      </c>
      <c r="L88" s="20">
        <f>IFERROR(__xludf.DUMMYFUNCTION("""COMPUTED_VALUE"""),44211.0)</f>
        <v>44211</v>
      </c>
      <c r="M88" s="19" t="str">
        <f>IFERROR(__xludf.DUMMYFUNCTION("""COMPUTED_VALUE"""),"PCM")</f>
        <v>PCM</v>
      </c>
      <c r="N88" s="19" t="str">
        <f>IFERROR(__xludf.DUMMYFUNCTION("""COMPUTED_VALUE"""),"PRIORIDAD 1 Q3 2023 OCTUBRE")</f>
        <v>PRIORIDAD 1 Q3 2023 OCTUBRE</v>
      </c>
    </row>
    <row r="89" ht="15.75" customHeight="1">
      <c r="A89" s="19" t="str">
        <f>IFERROR(__xludf.DUMMYFUNCTION("""COMPUTED_VALUE"""),"AB_8146")</f>
        <v>AB_8146</v>
      </c>
      <c r="B89" s="19" t="str">
        <f>IFERROR(__xludf.DUMMYFUNCTION("""COMPUTED_VALUE"""),"AB_8146_A")</f>
        <v>AB_8146_A</v>
      </c>
      <c r="C89" s="19" t="str">
        <f>IFERROR(__xludf.DUMMYFUNCTION("""COMPUTED_VALUE"""),"AR8146")</f>
        <v>AR8146</v>
      </c>
      <c r="D89" s="19" t="str">
        <f>IFERROR(__xludf.DUMMYFUNCTION("""COMPUTED_VALUE"""),"La Invernada Collipulli")</f>
        <v>La Invernada Collipulli</v>
      </c>
      <c r="E89" s="19" t="str">
        <f>IFERROR(__xludf.DUMMYFUNCTION("""COMPUTED_VALUE"""),"SITIO RFI")</f>
        <v>SITIO RFI</v>
      </c>
      <c r="F89" s="19" t="str">
        <f>IFERROR(__xludf.DUMMYFUNCTION("""COMPUTED_VALUE"""),"RFI")</f>
        <v>RFI</v>
      </c>
      <c r="G89" s="19" t="str">
        <f>IFERROR(__xludf.DUMMYFUNCTION("""COMPUTED_VALUE"""),"CV60")</f>
        <v>CV60</v>
      </c>
      <c r="H89" s="19" t="str">
        <f>IFERROR(__xludf.DUMMYFUNCTION("""COMPUTED_VALUE"""),"DEPROMET")</f>
        <v>DEPROMET</v>
      </c>
      <c r="I89" s="19" t="str">
        <f>IFERROR(__xludf.DUMMYFUNCTION("""COMPUTED_VALUE"""),"Entregada")</f>
        <v>Entregada</v>
      </c>
      <c r="J89" s="20">
        <f>IFERROR(__xludf.DUMMYFUNCTION("""COMPUTED_VALUE"""),44708.0)</f>
        <v>44708</v>
      </c>
      <c r="K89" s="19" t="str">
        <f>IFERROR(__xludf.DUMMYFUNCTION("""COMPUTED_VALUE"""),"Entregada")</f>
        <v>Entregada</v>
      </c>
      <c r="L89" s="20">
        <f>IFERROR(__xludf.DUMMYFUNCTION("""COMPUTED_VALUE"""),44764.0)</f>
        <v>44764</v>
      </c>
      <c r="M89" s="19" t="str">
        <f>IFERROR(__xludf.DUMMYFUNCTION("""COMPUTED_VALUE"""),"PCM")</f>
        <v>PCM</v>
      </c>
      <c r="N89" s="19" t="str">
        <f>IFERROR(__xludf.DUMMYFUNCTION("""COMPUTED_VALUE"""),"PRIORIDAD 1 Q3 2023 OCTUBRE")</f>
        <v>PRIORIDAD 1 Q3 2023 OCTUBRE</v>
      </c>
    </row>
    <row r="90" ht="15.75" customHeight="1">
      <c r="A90" s="19" t="str">
        <f>IFERROR(__xludf.DUMMYFUNCTION("""COMPUTED_VALUE"""),"AB_9036")</f>
        <v>AB_9036</v>
      </c>
      <c r="B90" s="19" t="str">
        <f>IFERROR(__xludf.DUMMYFUNCTION("""COMPUTED_VALUE"""),"AB_9036_D")</f>
        <v>AB_9036_D</v>
      </c>
      <c r="C90" s="19" t="str">
        <f>IFERROR(__xludf.DUMMYFUNCTION("""COMPUTED_VALUE"""),"AR9036")</f>
        <v>AR9036</v>
      </c>
      <c r="D90" s="19" t="str">
        <f>IFERROR(__xludf.DUMMYFUNCTION("""COMPUTED_VALUE"""),"Maelipeuco")</f>
        <v>Maelipeuco</v>
      </c>
      <c r="E90" s="19" t="str">
        <f>IFERROR(__xludf.DUMMYFUNCTION("""COMPUTED_VALUE"""),"SITIO RFI")</f>
        <v>SITIO RFI</v>
      </c>
      <c r="F90" s="19" t="str">
        <f>IFERROR(__xludf.DUMMYFUNCTION("""COMPUTED_VALUE"""),"RFI")</f>
        <v>RFI</v>
      </c>
      <c r="G90" s="19" t="str">
        <f>IFERROR(__xludf.DUMMYFUNCTION("""COMPUTED_VALUE"""),"AS48")</f>
        <v>AS48</v>
      </c>
      <c r="H90" s="19" t="str">
        <f>IFERROR(__xludf.DUMMYFUNCTION("""COMPUTED_VALUE"""),"ADM")</f>
        <v>ADM</v>
      </c>
      <c r="I90" s="19" t="str">
        <f>IFERROR(__xludf.DUMMYFUNCTION("""COMPUTED_VALUE"""),"Entregada")</f>
        <v>Entregada</v>
      </c>
      <c r="J90" s="20">
        <f>IFERROR(__xludf.DUMMYFUNCTION("""COMPUTED_VALUE"""),44750.0)</f>
        <v>44750</v>
      </c>
      <c r="K90" s="19" t="str">
        <f>IFERROR(__xludf.DUMMYFUNCTION("""COMPUTED_VALUE"""),"Entregada")</f>
        <v>Entregada</v>
      </c>
      <c r="L90" s="20">
        <f>IFERROR(__xludf.DUMMYFUNCTION("""COMPUTED_VALUE"""),44785.0)</f>
        <v>44785</v>
      </c>
      <c r="M90" s="19" t="str">
        <f>IFERROR(__xludf.DUMMYFUNCTION("""COMPUTED_VALUE"""),"PCM")</f>
        <v>PCM</v>
      </c>
      <c r="N90" s="19" t="str">
        <f>IFERROR(__xludf.DUMMYFUNCTION("""COMPUTED_VALUE"""),"PRIORIDAD 1 Q3 2023 OCTUBRE")</f>
        <v>PRIORIDAD 1 Q3 2023 OCTUBRE</v>
      </c>
    </row>
    <row r="91" ht="15.75" customHeight="1">
      <c r="A91" s="19" t="str">
        <f>IFERROR(__xludf.DUMMYFUNCTION("""COMPUTED_VALUE"""),"AB_9057")</f>
        <v>AB_9057</v>
      </c>
      <c r="B91" s="19" t="str">
        <f>IFERROR(__xludf.DUMMYFUNCTION("""COMPUTED_VALUE"""),"AB_9057_F")</f>
        <v>AB_9057_F</v>
      </c>
      <c r="C91" s="19" t="str">
        <f>IFERROR(__xludf.DUMMYFUNCTION("""COMPUTED_VALUE"""),"AR9057")</f>
        <v>AR9057</v>
      </c>
      <c r="D91" s="19" t="str">
        <f>IFERROR(__xludf.DUMMYFUNCTION("""COMPUTED_VALUE"""),"Llaima Alto")</f>
        <v>Llaima Alto</v>
      </c>
      <c r="E91" s="19" t="str">
        <f>IFERROR(__xludf.DUMMYFUNCTION("""COMPUTED_VALUE"""),"SITIO RFI")</f>
        <v>SITIO RFI</v>
      </c>
      <c r="F91" s="19" t="str">
        <f>IFERROR(__xludf.DUMMYFUNCTION("""COMPUTED_VALUE"""),"RFI")</f>
        <v>RFI</v>
      </c>
      <c r="G91" s="19" t="str">
        <f>IFERROR(__xludf.DUMMYFUNCTION("""COMPUTED_VALUE"""),"CV48")</f>
        <v>CV48</v>
      </c>
      <c r="H91" s="19" t="str">
        <f>IFERROR(__xludf.DUMMYFUNCTION("""COMPUTED_VALUE"""),"ADM")</f>
        <v>ADM</v>
      </c>
      <c r="I91" s="19" t="str">
        <f>IFERROR(__xludf.DUMMYFUNCTION("""COMPUTED_VALUE"""),"Entregada")</f>
        <v>Entregada</v>
      </c>
      <c r="J91" s="20">
        <f>IFERROR(__xludf.DUMMYFUNCTION("""COMPUTED_VALUE"""),44736.0)</f>
        <v>44736</v>
      </c>
      <c r="K91" s="19" t="str">
        <f>IFERROR(__xludf.DUMMYFUNCTION("""COMPUTED_VALUE"""),"Entregada")</f>
        <v>Entregada</v>
      </c>
      <c r="L91" s="20">
        <f>IFERROR(__xludf.DUMMYFUNCTION("""COMPUTED_VALUE"""),44834.0)</f>
        <v>44834</v>
      </c>
      <c r="M91" s="19" t="str">
        <f>IFERROR(__xludf.DUMMYFUNCTION("""COMPUTED_VALUE"""),"PCM")</f>
        <v>PCM</v>
      </c>
      <c r="N91" s="19" t="str">
        <f>IFERROR(__xludf.DUMMYFUNCTION("""COMPUTED_VALUE"""),"PRIORIDAD 1 Q3 2023 OCTUBRE")</f>
        <v>PRIORIDAD 1 Q3 2023 OCTUBRE</v>
      </c>
    </row>
    <row r="92" ht="15.75" customHeight="1">
      <c r="A92" s="19" t="str">
        <f>IFERROR(__xludf.DUMMYFUNCTION("""COMPUTED_VALUE"""),"AB_9058")</f>
        <v>AB_9058</v>
      </c>
      <c r="B92" s="19" t="str">
        <f>IFERROR(__xludf.DUMMYFUNCTION("""COMPUTED_VALUE"""),"AB_9058_C")</f>
        <v>AB_9058_C</v>
      </c>
      <c r="C92" s="19" t="str">
        <f>IFERROR(__xludf.DUMMYFUNCTION("""COMPUTED_VALUE"""),"AR9058")</f>
        <v>AR9058</v>
      </c>
      <c r="D92" s="19" t="str">
        <f>IFERROR(__xludf.DUMMYFUNCTION("""COMPUTED_VALUE"""),"Guindo Chico")</f>
        <v>Guindo Chico</v>
      </c>
      <c r="E92" s="19" t="str">
        <f>IFERROR(__xludf.DUMMYFUNCTION("""COMPUTED_VALUE"""),"SITIO RFI")</f>
        <v>SITIO RFI</v>
      </c>
      <c r="F92" s="19" t="str">
        <f>IFERROR(__xludf.DUMMYFUNCTION("""COMPUTED_VALUE"""),"RFI")</f>
        <v>RFI</v>
      </c>
      <c r="G92" s="19" t="str">
        <f>IFERROR(__xludf.DUMMYFUNCTION("""COMPUTED_VALUE"""),"AS60")</f>
        <v>AS60</v>
      </c>
      <c r="H92" s="19" t="str">
        <f>IFERROR(__xludf.DUMMYFUNCTION("""COMPUTED_VALUE"""),"MER")</f>
        <v>MER</v>
      </c>
      <c r="I92" s="19" t="str">
        <f>IFERROR(__xludf.DUMMYFUNCTION("""COMPUTED_VALUE"""),"Entregada")</f>
        <v>Entregada</v>
      </c>
      <c r="J92" s="20">
        <f>IFERROR(__xludf.DUMMYFUNCTION("""COMPUTED_VALUE"""),44697.0)</f>
        <v>44697</v>
      </c>
      <c r="K92" s="19" t="str">
        <f>IFERROR(__xludf.DUMMYFUNCTION("""COMPUTED_VALUE"""),"Terminada")</f>
        <v>Terminada</v>
      </c>
      <c r="L92" s="20">
        <f>IFERROR(__xludf.DUMMYFUNCTION("""COMPUTED_VALUE"""),44722.0)</f>
        <v>44722</v>
      </c>
      <c r="M92" s="19" t="str">
        <f>IFERROR(__xludf.DUMMYFUNCTION("""COMPUTED_VALUE"""),"PCM")</f>
        <v>PCM</v>
      </c>
      <c r="N92" s="19" t="str">
        <f>IFERROR(__xludf.DUMMYFUNCTION("""COMPUTED_VALUE"""),"PRIORIDAD 1 Q3 2023 OCTUBRE")</f>
        <v>PRIORIDAD 1 Q3 2023 OCTUBRE</v>
      </c>
    </row>
    <row r="93" ht="15.75" customHeight="1">
      <c r="A93" s="19" t="str">
        <f>IFERROR(__xludf.DUMMYFUNCTION("""COMPUTED_VALUE"""),"AB_9059")</f>
        <v>AB_9059</v>
      </c>
      <c r="B93" s="19" t="str">
        <f>IFERROR(__xludf.DUMMYFUNCTION("""COMPUTED_VALUE"""),"AB_9059_A")</f>
        <v>AB_9059_A</v>
      </c>
      <c r="C93" s="19" t="str">
        <f>IFERROR(__xludf.DUMMYFUNCTION("""COMPUTED_VALUE"""),"AR9059")</f>
        <v>AR9059</v>
      </c>
      <c r="D93" s="19" t="str">
        <f>IFERROR(__xludf.DUMMYFUNCTION("""COMPUTED_VALUE"""),"Capitan Pastene")</f>
        <v>Capitan Pastene</v>
      </c>
      <c r="E93" s="19" t="str">
        <f>IFERROR(__xludf.DUMMYFUNCTION("""COMPUTED_VALUE"""),"SITIO RFI")</f>
        <v>SITIO RFI</v>
      </c>
      <c r="F93" s="19" t="str">
        <f>IFERROR(__xludf.DUMMYFUNCTION("""COMPUTED_VALUE"""),"RFI")</f>
        <v>RFI</v>
      </c>
      <c r="G93" s="19" t="str">
        <f>IFERROR(__xludf.DUMMYFUNCTION("""COMPUTED_VALUE"""),"AS48")</f>
        <v>AS48</v>
      </c>
      <c r="H93" s="19" t="str">
        <f>IFERROR(__xludf.DUMMYFUNCTION("""COMPUTED_VALUE"""),"AJ")</f>
        <v>AJ</v>
      </c>
      <c r="I93" s="19" t="str">
        <f>IFERROR(__xludf.DUMMYFUNCTION("""COMPUTED_VALUE"""),"Entregada")</f>
        <v>Entregada</v>
      </c>
      <c r="J93" s="20">
        <f>IFERROR(__xludf.DUMMYFUNCTION("""COMPUTED_VALUE"""),44664.0)</f>
        <v>44664</v>
      </c>
      <c r="K93" s="19" t="str">
        <f>IFERROR(__xludf.DUMMYFUNCTION("""COMPUTED_VALUE"""),"Entregada")</f>
        <v>Entregada</v>
      </c>
      <c r="L93" s="20">
        <f>IFERROR(__xludf.DUMMYFUNCTION("""COMPUTED_VALUE"""),44703.0)</f>
        <v>44703</v>
      </c>
      <c r="M93" s="19" t="str">
        <f>IFERROR(__xludf.DUMMYFUNCTION("""COMPUTED_VALUE"""),"PCM")</f>
        <v>PCM</v>
      </c>
      <c r="N93" s="19" t="str">
        <f>IFERROR(__xludf.DUMMYFUNCTION("""COMPUTED_VALUE"""),"PRIORIDAD 1 Q3 2023 OCTUBRE")</f>
        <v>PRIORIDAD 1 Q3 2023 OCTUBRE</v>
      </c>
    </row>
    <row r="94" ht="15.75" customHeight="1">
      <c r="A94" s="19" t="str">
        <f>IFERROR(__xludf.DUMMYFUNCTION("""COMPUTED_VALUE"""),"AB_9077")</f>
        <v>AB_9077</v>
      </c>
      <c r="B94" s="19" t="str">
        <f>IFERROR(__xludf.DUMMYFUNCTION("""COMPUTED_VALUE"""),"AB_9077_B")</f>
        <v>AB_9077_B</v>
      </c>
      <c r="C94" s="19" t="str">
        <f>IFERROR(__xludf.DUMMYFUNCTION("""COMPUTED_VALUE"""),"AR9077")</f>
        <v>AR9077</v>
      </c>
      <c r="D94" s="19" t="str">
        <f>IFERROR(__xludf.DUMMYFUNCTION("""COMPUTED_VALUE"""),"Porvenir Galvarino")</f>
        <v>Porvenir Galvarino</v>
      </c>
      <c r="E94" s="19" t="str">
        <f>IFERROR(__xludf.DUMMYFUNCTION("""COMPUTED_VALUE"""),"SITIO RFI")</f>
        <v>SITIO RFI</v>
      </c>
      <c r="F94" s="19" t="str">
        <f>IFERROR(__xludf.DUMMYFUNCTION("""COMPUTED_VALUE"""),"RFI")</f>
        <v>RFI</v>
      </c>
      <c r="G94" s="19" t="str">
        <f>IFERROR(__xludf.DUMMYFUNCTION("""COMPUTED_VALUE"""),"CV42")</f>
        <v>CV42</v>
      </c>
      <c r="H94" s="19" t="str">
        <f>IFERROR(__xludf.DUMMYFUNCTION("""COMPUTED_VALUE"""),"SyC")</f>
        <v>SyC</v>
      </c>
      <c r="I94" s="19" t="str">
        <f>IFERROR(__xludf.DUMMYFUNCTION("""COMPUTED_VALUE"""),"Entregada")</f>
        <v>Entregada</v>
      </c>
      <c r="J94" s="20">
        <f>IFERROR(__xludf.DUMMYFUNCTION("""COMPUTED_VALUE"""),44769.0)</f>
        <v>44769</v>
      </c>
      <c r="K94" s="19" t="str">
        <f>IFERROR(__xludf.DUMMYFUNCTION("""COMPUTED_VALUE"""),"Entregada")</f>
        <v>Entregada</v>
      </c>
      <c r="L94" s="20">
        <f>IFERROR(__xludf.DUMMYFUNCTION("""COMPUTED_VALUE"""),44784.0)</f>
        <v>44784</v>
      </c>
      <c r="M94" s="19" t="str">
        <f>IFERROR(__xludf.DUMMYFUNCTION("""COMPUTED_VALUE"""),"PCM")</f>
        <v>PCM</v>
      </c>
      <c r="N94" s="19" t="str">
        <f>IFERROR(__xludf.DUMMYFUNCTION("""COMPUTED_VALUE"""),"PRIORIDAD 1 Q3 2023 OCTUBRE")</f>
        <v>PRIORIDAD 1 Q3 2023 OCTUBRE</v>
      </c>
    </row>
    <row r="95" ht="15.75" customHeight="1">
      <c r="A95" s="19" t="str">
        <f>IFERROR(__xludf.DUMMYFUNCTION("""COMPUTED_VALUE"""),"AB_9414")</f>
        <v>AB_9414</v>
      </c>
      <c r="B95" s="19" t="str">
        <f>IFERROR(__xludf.DUMMYFUNCTION("""COMPUTED_VALUE"""),"AB_9414_A")</f>
        <v>AB_9414_A</v>
      </c>
      <c r="C95" s="19" t="str">
        <f>IFERROR(__xludf.DUMMYFUNCTION("""COMPUTED_VALUE"""),"AR9414")</f>
        <v>AR9414</v>
      </c>
      <c r="D95" s="19" t="str">
        <f>IFERROR(__xludf.DUMMYFUNCTION("""COMPUTED_VALUE"""),"San Ernesto Puren")</f>
        <v>San Ernesto Puren</v>
      </c>
      <c r="E95" s="19" t="str">
        <f>IFERROR(__xludf.DUMMYFUNCTION("""COMPUTED_VALUE"""),"SITIO EN CONSTRUCCION")</f>
        <v>SITIO EN CONSTRUCCION</v>
      </c>
      <c r="F95" s="19" t="str">
        <f>IFERROR(__xludf.DUMMYFUNCTION("""COMPUTED_VALUE"""),"EXCAVACION")</f>
        <v>EXCAVACION</v>
      </c>
      <c r="G95" s="19" t="str">
        <f>IFERROR(__xludf.DUMMYFUNCTION("""COMPUTED_VALUE"""),"CV48")</f>
        <v>CV48</v>
      </c>
      <c r="H95" s="19" t="str">
        <f>IFERROR(__xludf.DUMMYFUNCTION("""COMPUTED_VALUE"""),"MER")</f>
        <v>MER</v>
      </c>
      <c r="I95" s="19" t="str">
        <f>IFERROR(__xludf.DUMMYFUNCTION("""COMPUTED_VALUE"""),"Terminada")</f>
        <v>Terminada</v>
      </c>
      <c r="J95" s="20">
        <f>IFERROR(__xludf.DUMMYFUNCTION("""COMPUTED_VALUE"""),45051.0)</f>
        <v>45051</v>
      </c>
      <c r="K95" s="19" t="str">
        <f>IFERROR(__xludf.DUMMYFUNCTION("""COMPUTED_VALUE"""),"Por pintar ")</f>
        <v>Por pintar </v>
      </c>
      <c r="L95" s="20">
        <f>IFERROR(__xludf.DUMMYFUNCTION("""COMPUTED_VALUE"""),45054.0)</f>
        <v>45054</v>
      </c>
      <c r="M95" s="19" t="str">
        <f>IFERROR(__xludf.DUMMYFUNCTION("""COMPUTED_VALUE"""),"PCM")</f>
        <v>PCM</v>
      </c>
      <c r="N95" s="19" t="str">
        <f>IFERROR(__xludf.DUMMYFUNCTION("""COMPUTED_VALUE"""),"PRIORIDAD 1 Q3 2023 OCTUBRE")</f>
        <v>PRIORIDAD 1 Q3 2023 OCTUBRE</v>
      </c>
    </row>
    <row r="96" ht="15.75" customHeight="1">
      <c r="A96" s="19" t="str">
        <f>IFERROR(__xludf.DUMMYFUNCTION("""COMPUTED_VALUE"""),"AB_9421")</f>
        <v>AB_9421</v>
      </c>
      <c r="B96" s="19" t="str">
        <f>IFERROR(__xludf.DUMMYFUNCTION("""COMPUTED_VALUE"""),"AB_9421_A")</f>
        <v>AB_9421_A</v>
      </c>
      <c r="C96" s="19" t="str">
        <f>IFERROR(__xludf.DUMMYFUNCTION("""COMPUTED_VALUE"""),"AR9421")</f>
        <v>AR9421</v>
      </c>
      <c r="D96" s="19" t="str">
        <f>IFERROR(__xludf.DUMMYFUNCTION("""COMPUTED_VALUE"""),"Cholchol Cementerio")</f>
        <v>Cholchol Cementerio</v>
      </c>
      <c r="E96" s="19" t="str">
        <f>IFERROR(__xludf.DUMMYFUNCTION("""COMPUTED_VALUE"""),"SITIO RFI")</f>
        <v>SITIO RFI</v>
      </c>
      <c r="F96" s="19" t="str">
        <f>IFERROR(__xludf.DUMMYFUNCTION("""COMPUTED_VALUE"""),"RFI")</f>
        <v>RFI</v>
      </c>
      <c r="G96" s="19" t="str">
        <f>IFERROR(__xludf.DUMMYFUNCTION("""COMPUTED_VALUE"""),"AS48")</f>
        <v>AS48</v>
      </c>
      <c r="H96" s="19" t="str">
        <f>IFERROR(__xludf.DUMMYFUNCTION("""COMPUTED_VALUE"""),"MT")</f>
        <v>MT</v>
      </c>
      <c r="I96" s="19" t="str">
        <f>IFERROR(__xludf.DUMMYFUNCTION("""COMPUTED_VALUE"""),"Entregada")</f>
        <v>Entregada</v>
      </c>
      <c r="J96" s="20">
        <f>IFERROR(__xludf.DUMMYFUNCTION("""COMPUTED_VALUE"""),44672.0)</f>
        <v>44672</v>
      </c>
      <c r="K96" s="19" t="str">
        <f>IFERROR(__xludf.DUMMYFUNCTION("""COMPUTED_VALUE"""),"Entregada")</f>
        <v>Entregada</v>
      </c>
      <c r="L96" s="20">
        <f>IFERROR(__xludf.DUMMYFUNCTION("""COMPUTED_VALUE"""),44726.0)</f>
        <v>44726</v>
      </c>
      <c r="M96" s="19" t="str">
        <f>IFERROR(__xludf.DUMMYFUNCTION("""COMPUTED_VALUE"""),"PCM")</f>
        <v>PCM</v>
      </c>
      <c r="N96" s="19" t="str">
        <f>IFERROR(__xludf.DUMMYFUNCTION("""COMPUTED_VALUE"""),"PRIORIDAD 1 Q3 2023 OCTUBRE")</f>
        <v>PRIORIDAD 1 Q3 2023 OCTUBRE</v>
      </c>
    </row>
    <row r="97" ht="15.75" customHeight="1">
      <c r="A97" s="19" t="str">
        <f>IFERROR(__xludf.DUMMYFUNCTION("""COMPUTED_VALUE"""),"AB_9663")</f>
        <v>AB_9663</v>
      </c>
      <c r="B97" s="19" t="str">
        <f>IFERROR(__xludf.DUMMYFUNCTION("""COMPUTED_VALUE"""),"AB_9663_C")</f>
        <v>AB_9663_C</v>
      </c>
      <c r="C97" s="19" t="str">
        <f>IFERROR(__xludf.DUMMYFUNCTION("""COMPUTED_VALUE"""),"AR9663")</f>
        <v>AR9663</v>
      </c>
      <c r="D97" s="19" t="str">
        <f>IFERROR(__xludf.DUMMYFUNCTION("""COMPUTED_VALUE"""),"Los Alamos Victoria")</f>
        <v>Los Alamos Victoria</v>
      </c>
      <c r="E97" s="19" t="str">
        <f>IFERROR(__xludf.DUMMYFUNCTION("""COMPUTED_VALUE"""),"SITIO RFI")</f>
        <v>SITIO RFI</v>
      </c>
      <c r="F97" s="19" t="str">
        <f>IFERROR(__xludf.DUMMYFUNCTION("""COMPUTED_VALUE"""),"RFI")</f>
        <v>RFI</v>
      </c>
      <c r="G97" s="19" t="str">
        <f>IFERROR(__xludf.DUMMYFUNCTION("""COMPUTED_VALUE"""),"AS36")</f>
        <v>AS36</v>
      </c>
      <c r="H97" s="19" t="str">
        <f>IFERROR(__xludf.DUMMYFUNCTION("""COMPUTED_VALUE"""),"MER")</f>
        <v>MER</v>
      </c>
      <c r="I97" s="19" t="str">
        <f>IFERROR(__xludf.DUMMYFUNCTION("""COMPUTED_VALUE"""),"Entregada")</f>
        <v>Entregada</v>
      </c>
      <c r="J97" s="20">
        <f>IFERROR(__xludf.DUMMYFUNCTION("""COMPUTED_VALUE"""),44862.0)</f>
        <v>44862</v>
      </c>
      <c r="K97" s="19" t="str">
        <f>IFERROR(__xludf.DUMMYFUNCTION("""COMPUTED_VALUE"""),"Entregada")</f>
        <v>Entregada</v>
      </c>
      <c r="L97" s="20">
        <f>IFERROR(__xludf.DUMMYFUNCTION("""COMPUTED_VALUE"""),44876.0)</f>
        <v>44876</v>
      </c>
      <c r="M97" s="19" t="str">
        <f>IFERROR(__xludf.DUMMYFUNCTION("""COMPUTED_VALUE"""),"PP")</f>
        <v>PP</v>
      </c>
      <c r="N97" s="19" t="str">
        <f>IFERROR(__xludf.DUMMYFUNCTION("""COMPUTED_VALUE"""),"PRIORIDAD 1 Q3 2023 OCTUBRE")</f>
        <v>PRIORIDAD 1 Q3 2023 OCTUBRE</v>
      </c>
    </row>
    <row r="98" ht="15.75" customHeight="1">
      <c r="A98" s="19" t="str">
        <f>IFERROR(__xludf.DUMMYFUNCTION("""COMPUTED_VALUE"""),"AB_9797")</f>
        <v>AB_9797</v>
      </c>
      <c r="B98" s="19" t="str">
        <f>IFERROR(__xludf.DUMMYFUNCTION("""COMPUTED_VALUE"""),"AB_9797_A")</f>
        <v>AB_9797_A</v>
      </c>
      <c r="C98" s="19" t="str">
        <f>IFERROR(__xludf.DUMMYFUNCTION("""COMPUTED_VALUE"""),"AR9797")</f>
        <v>AR9797</v>
      </c>
      <c r="D98" s="19" t="str">
        <f>IFERROR(__xludf.DUMMYFUNCTION("""COMPUTED_VALUE"""),"Quillen")</f>
        <v>Quillen</v>
      </c>
      <c r="E98" s="19" t="str">
        <f>IFERROR(__xludf.DUMMYFUNCTION("""COMPUTED_VALUE"""),"SITIO RFI")</f>
        <v>SITIO RFI</v>
      </c>
      <c r="F98" s="19" t="str">
        <f>IFERROR(__xludf.DUMMYFUNCTION("""COMPUTED_VALUE"""),"RFI")</f>
        <v>RFI</v>
      </c>
      <c r="G98" s="19" t="str">
        <f>IFERROR(__xludf.DUMMYFUNCTION("""COMPUTED_VALUE"""),"AS60")</f>
        <v>AS60</v>
      </c>
      <c r="H98" s="19" t="str">
        <f>IFERROR(__xludf.DUMMYFUNCTION("""COMPUTED_VALUE"""),"AJ")</f>
        <v>AJ</v>
      </c>
      <c r="I98" s="19" t="str">
        <f>IFERROR(__xludf.DUMMYFUNCTION("""COMPUTED_VALUE"""),"Entregada")</f>
        <v>Entregada</v>
      </c>
      <c r="J98" s="20">
        <f>IFERROR(__xludf.DUMMYFUNCTION("""COMPUTED_VALUE"""),44624.0)</f>
        <v>44624</v>
      </c>
      <c r="K98" s="19" t="str">
        <f>IFERROR(__xludf.DUMMYFUNCTION("""COMPUTED_VALUE"""),"Entregada")</f>
        <v>Entregada</v>
      </c>
      <c r="L98" s="20">
        <f>IFERROR(__xludf.DUMMYFUNCTION("""COMPUTED_VALUE"""),44655.0)</f>
        <v>44655</v>
      </c>
      <c r="M98" s="19" t="str">
        <f>IFERROR(__xludf.DUMMYFUNCTION("""COMPUTED_VALUE"""),"PCM")</f>
        <v>PCM</v>
      </c>
      <c r="N98" s="19" t="str">
        <f>IFERROR(__xludf.DUMMYFUNCTION("""COMPUTED_VALUE"""),"PRIORIDAD 1 Q3 2023 OCTUBRE")</f>
        <v>PRIORIDAD 1 Q3 2023 OCTUBRE</v>
      </c>
    </row>
    <row r="99" ht="15.75" customHeight="1">
      <c r="A99" s="19" t="str">
        <f>IFERROR(__xludf.DUMMYFUNCTION("""COMPUTED_VALUE"""),"AB_9805")</f>
        <v>AB_9805</v>
      </c>
      <c r="B99" s="19" t="str">
        <f>IFERROR(__xludf.DUMMYFUNCTION("""COMPUTED_VALUE"""),"AB_9805_C")</f>
        <v>AB_9805_C</v>
      </c>
      <c r="C99" s="19" t="str">
        <f>IFERROR(__xludf.DUMMYFUNCTION("""COMPUTED_VALUE"""),"AR9805")</f>
        <v>AR9805</v>
      </c>
      <c r="D99" s="19" t="str">
        <f>IFERROR(__xludf.DUMMYFUNCTION("""COMPUTED_VALUE"""),"Ranquilco Galvarino")</f>
        <v>Ranquilco Galvarino</v>
      </c>
      <c r="E99" s="19" t="str">
        <f>IFERROR(__xludf.DUMMYFUNCTION("""COMPUTED_VALUE"""),"SITIO RFI")</f>
        <v>SITIO RFI</v>
      </c>
      <c r="F99" s="19" t="str">
        <f>IFERROR(__xludf.DUMMYFUNCTION("""COMPUTED_VALUE"""),"RFI")</f>
        <v>RFI</v>
      </c>
      <c r="G99" s="19" t="str">
        <f>IFERROR(__xludf.DUMMYFUNCTION("""COMPUTED_VALUE"""),"CV60")</f>
        <v>CV60</v>
      </c>
      <c r="H99" s="19" t="str">
        <f>IFERROR(__xludf.DUMMYFUNCTION("""COMPUTED_VALUE"""),"DEPROMET")</f>
        <v>DEPROMET</v>
      </c>
      <c r="I99" s="19" t="str">
        <f>IFERROR(__xludf.DUMMYFUNCTION("""COMPUTED_VALUE"""),"Entregada")</f>
        <v>Entregada</v>
      </c>
      <c r="J99" s="20">
        <f>IFERROR(__xludf.DUMMYFUNCTION("""COMPUTED_VALUE"""),44708.0)</f>
        <v>44708</v>
      </c>
      <c r="K99" s="19" t="str">
        <f>IFERROR(__xludf.DUMMYFUNCTION("""COMPUTED_VALUE"""),"Entregada")</f>
        <v>Entregada</v>
      </c>
      <c r="L99" s="20">
        <f>IFERROR(__xludf.DUMMYFUNCTION("""COMPUTED_VALUE"""),44715.0)</f>
        <v>44715</v>
      </c>
      <c r="M99" s="19" t="str">
        <f>IFERROR(__xludf.DUMMYFUNCTION("""COMPUTED_VALUE"""),"PCM")</f>
        <v>PCM</v>
      </c>
      <c r="N99" s="19" t="str">
        <f>IFERROR(__xludf.DUMMYFUNCTION("""COMPUTED_VALUE"""),"PRIORIDAD 1 Q3 2023 OCTUBRE")</f>
        <v>PRIORIDAD 1 Q3 2023 OCTUBRE</v>
      </c>
    </row>
    <row r="100" ht="15.75" customHeight="1">
      <c r="A100" s="19" t="str">
        <f>IFERROR(__xludf.DUMMYFUNCTION("""COMPUTED_VALUE"""),"AB_9837")</f>
        <v>AB_9837</v>
      </c>
      <c r="B100" s="19" t="str">
        <f>IFERROR(__xludf.DUMMYFUNCTION("""COMPUTED_VALUE"""),"AB_9837_B")</f>
        <v>AB_9837_B</v>
      </c>
      <c r="C100" s="19" t="str">
        <f>IFERROR(__xludf.DUMMYFUNCTION("""COMPUTED_VALUE"""),"AR9837")</f>
        <v>AR9837</v>
      </c>
      <c r="D100" s="19" t="str">
        <f>IFERROR(__xludf.DUMMYFUNCTION("""COMPUTED_VALUE"""),"Fortin Ñielol Galvarino")</f>
        <v>Fortin Ñielol Galvarino</v>
      </c>
      <c r="E100" s="19" t="str">
        <f>IFERROR(__xludf.DUMMYFUNCTION("""COMPUTED_VALUE"""),"SITIO RFI")</f>
        <v>SITIO RFI</v>
      </c>
      <c r="F100" s="19" t="str">
        <f>IFERROR(__xludf.DUMMYFUNCTION("""COMPUTED_VALUE"""),"RFI")</f>
        <v>RFI</v>
      </c>
      <c r="G100" s="19" t="str">
        <f>IFERROR(__xludf.DUMMYFUNCTION("""COMPUTED_VALUE"""),"AS60")</f>
        <v>AS60</v>
      </c>
      <c r="H100" s="19" t="str">
        <f>IFERROR(__xludf.DUMMYFUNCTION("""COMPUTED_VALUE"""),"ADM")</f>
        <v>ADM</v>
      </c>
      <c r="I100" s="19" t="str">
        <f>IFERROR(__xludf.DUMMYFUNCTION("""COMPUTED_VALUE"""),"Entregada")</f>
        <v>Entregada</v>
      </c>
      <c r="J100" s="20">
        <f>IFERROR(__xludf.DUMMYFUNCTION("""COMPUTED_VALUE"""),44750.0)</f>
        <v>44750</v>
      </c>
      <c r="K100" s="19" t="str">
        <f>IFERROR(__xludf.DUMMYFUNCTION("""COMPUTED_VALUE"""),"Entregada")</f>
        <v>Entregada</v>
      </c>
      <c r="L100" s="20">
        <f>IFERROR(__xludf.DUMMYFUNCTION("""COMPUTED_VALUE"""),44750.0)</f>
        <v>44750</v>
      </c>
      <c r="M100" s="19" t="str">
        <f>IFERROR(__xludf.DUMMYFUNCTION("""COMPUTED_VALUE"""),"LLOO")</f>
        <v>LLOO</v>
      </c>
      <c r="N100" s="19" t="str">
        <f>IFERROR(__xludf.DUMMYFUNCTION("""COMPUTED_VALUE"""),"PRIORIDAD 1 Q3 2023 OCTUBRE")</f>
        <v>PRIORIDAD 1 Q3 2023 OCTUBRE</v>
      </c>
    </row>
    <row r="101" ht="15.75" customHeight="1">
      <c r="A101" s="19" t="str">
        <f>IFERROR(__xludf.DUMMYFUNCTION("""COMPUTED_VALUE"""),"AB_9838")</f>
        <v>AB_9838</v>
      </c>
      <c r="B101" s="19" t="str">
        <f>IFERROR(__xludf.DUMMYFUNCTION("""COMPUTED_VALUE"""),"AB_9838_E")</f>
        <v>AB_9838_E</v>
      </c>
      <c r="C101" s="19" t="str">
        <f>IFERROR(__xludf.DUMMYFUNCTION("""COMPUTED_VALUE"""),"AR9838")</f>
        <v>AR9838</v>
      </c>
      <c r="D101" s="19" t="str">
        <f>IFERROR(__xludf.DUMMYFUNCTION("""COMPUTED_VALUE"""),"Chacaico Angol")</f>
        <v>Chacaico Angol</v>
      </c>
      <c r="E101" s="19" t="str">
        <f>IFERROR(__xludf.DUMMYFUNCTION("""COMPUTED_VALUE"""),"SITIO RFI")</f>
        <v>SITIO RFI</v>
      </c>
      <c r="F101" s="19" t="str">
        <f>IFERROR(__xludf.DUMMYFUNCTION("""COMPUTED_VALUE"""),"RFI")</f>
        <v>RFI</v>
      </c>
      <c r="G101" s="19" t="str">
        <f>IFERROR(__xludf.DUMMYFUNCTION("""COMPUTED_VALUE"""),"AS60")</f>
        <v>AS60</v>
      </c>
      <c r="H101" s="19" t="str">
        <f>IFERROR(__xludf.DUMMYFUNCTION("""COMPUTED_VALUE"""),"MER")</f>
        <v>MER</v>
      </c>
      <c r="I101" s="19" t="str">
        <f>IFERROR(__xludf.DUMMYFUNCTION("""COMPUTED_VALUE"""),"Entregada")</f>
        <v>Entregada</v>
      </c>
      <c r="J101" s="20">
        <f>IFERROR(__xludf.DUMMYFUNCTION("""COMPUTED_VALUE"""),44697.0)</f>
        <v>44697</v>
      </c>
      <c r="K101" s="19" t="str">
        <f>IFERROR(__xludf.DUMMYFUNCTION("""COMPUTED_VALUE"""),"Entregada")</f>
        <v>Entregada</v>
      </c>
      <c r="L101" s="20">
        <f>IFERROR(__xludf.DUMMYFUNCTION("""COMPUTED_VALUE"""),44708.0)</f>
        <v>44708</v>
      </c>
      <c r="M101" s="19" t="str">
        <f>IFERROR(__xludf.DUMMYFUNCTION("""COMPUTED_VALUE"""),"PCM")</f>
        <v>PCM</v>
      </c>
      <c r="N101" s="19" t="str">
        <f>IFERROR(__xludf.DUMMYFUNCTION("""COMPUTED_VALUE"""),"PRIORIDAD 1 Q3 2023 OCTUBRE")</f>
        <v>PRIORIDAD 1 Q3 2023 OCTUBRE</v>
      </c>
    </row>
    <row r="102" ht="15.75" customHeight="1">
      <c r="A102" s="19" t="str">
        <f>IFERROR(__xludf.DUMMYFUNCTION("""COMPUTED_VALUE"""),"AB_9839")</f>
        <v>AB_9839</v>
      </c>
      <c r="B102" s="19" t="str">
        <f>IFERROR(__xludf.DUMMYFUNCTION("""COMPUTED_VALUE"""),"AB_9839_A")</f>
        <v>AB_9839_A</v>
      </c>
      <c r="C102" s="19" t="str">
        <f>IFERROR(__xludf.DUMMYFUNCTION("""COMPUTED_VALUE"""),"AR9839")</f>
        <v>AR9839</v>
      </c>
      <c r="D102" s="19" t="str">
        <f>IFERROR(__xludf.DUMMYFUNCTION("""COMPUTED_VALUE"""),"Relun")</f>
        <v>Relun</v>
      </c>
      <c r="E102" s="19" t="str">
        <f>IFERROR(__xludf.DUMMYFUNCTION("""COMPUTED_VALUE"""),"SITIO RFI")</f>
        <v>SITIO RFI</v>
      </c>
      <c r="F102" s="19" t="str">
        <f>IFERROR(__xludf.DUMMYFUNCTION("""COMPUTED_VALUE"""),"RFI")</f>
        <v>RFI</v>
      </c>
      <c r="G102" s="19" t="str">
        <f>IFERROR(__xludf.DUMMYFUNCTION("""COMPUTED_VALUE"""),"AS60")</f>
        <v>AS60</v>
      </c>
      <c r="H102" s="19" t="str">
        <f>IFERROR(__xludf.DUMMYFUNCTION("""COMPUTED_VALUE"""),"MER")</f>
        <v>MER</v>
      </c>
      <c r="I102" s="19" t="str">
        <f>IFERROR(__xludf.DUMMYFUNCTION("""COMPUTED_VALUE"""),"Entregada")</f>
        <v>Entregada</v>
      </c>
      <c r="J102" s="20">
        <f>IFERROR(__xludf.DUMMYFUNCTION("""COMPUTED_VALUE"""),44881.0)</f>
        <v>44881</v>
      </c>
      <c r="K102" s="19" t="str">
        <f>IFERROR(__xludf.DUMMYFUNCTION("""COMPUTED_VALUE"""),"Entregada")</f>
        <v>Entregada</v>
      </c>
      <c r="L102" s="20">
        <f>IFERROR(__xludf.DUMMYFUNCTION("""COMPUTED_VALUE"""),44890.0)</f>
        <v>44890</v>
      </c>
      <c r="M102" s="19" t="str">
        <f>IFERROR(__xludf.DUMMYFUNCTION("""COMPUTED_VALUE"""),"LLOO")</f>
        <v>LLOO</v>
      </c>
      <c r="N102" s="19" t="str">
        <f>IFERROR(__xludf.DUMMYFUNCTION("""COMPUTED_VALUE"""),"PRIORIDAD 1 Q3 2023 OCTUBRE")</f>
        <v>PRIORIDAD 1 Q3 2023 OCTUBRE</v>
      </c>
    </row>
    <row r="103" ht="15.75" customHeight="1">
      <c r="A103" s="19" t="str">
        <f>IFERROR(__xludf.DUMMYFUNCTION("""COMPUTED_VALUE"""),"AB_10420")</f>
        <v>AB_10420</v>
      </c>
      <c r="B103" s="19" t="str">
        <f>IFERROR(__xludf.DUMMYFUNCTION("""COMPUTED_VALUE"""),"AB_10420_A")</f>
        <v>AB_10420_A</v>
      </c>
      <c r="C103" s="19" t="str">
        <f>IFERROR(__xludf.DUMMYFUNCTION("""COMPUTED_VALUE"""),"AR10420")</f>
        <v>AR10420</v>
      </c>
      <c r="D103" s="19" t="str">
        <f>IFERROR(__xludf.DUMMYFUNCTION("""COMPUTED_VALUE"""),"LLOO Temuco Ruta Oriente")</f>
        <v>LLOO Temuco Ruta Oriente</v>
      </c>
      <c r="E103" s="19" t="str">
        <f>IFERROR(__xludf.DUMMYFUNCTION("""COMPUTED_VALUE"""),"SITIO CONSTRUIDO")</f>
        <v>SITIO CONSTRUIDO</v>
      </c>
      <c r="F103" s="19" t="str">
        <f>IFERROR(__xludf.DUMMYFUNCTION("""COMPUTED_VALUE"""),"EXCAVACION")</f>
        <v>EXCAVACION</v>
      </c>
      <c r="G103" s="19" t="str">
        <f>IFERROR(__xludf.DUMMYFUNCTION("""COMPUTED_VALUE"""),"CV60")</f>
        <v>CV60</v>
      </c>
      <c r="H103" s="19" t="str">
        <f>IFERROR(__xludf.DUMMYFUNCTION("""COMPUTED_VALUE"""),"DEPROMET")</f>
        <v>DEPROMET</v>
      </c>
      <c r="I103" s="19" t="str">
        <f>IFERROR(__xludf.DUMMYFUNCTION("""COMPUTED_VALUE"""),"Entregada")</f>
        <v>Entregada</v>
      </c>
      <c r="J103" s="20">
        <f>IFERROR(__xludf.DUMMYFUNCTION("""COMPUTED_VALUE"""),44839.0)</f>
        <v>44839</v>
      </c>
      <c r="K103" s="19" t="str">
        <f>IFERROR(__xludf.DUMMYFUNCTION("""COMPUTED_VALUE"""),"Entregada")</f>
        <v>Entregada</v>
      </c>
      <c r="L103" s="20">
        <f>IFERROR(__xludf.DUMMYFUNCTION("""COMPUTED_VALUE"""),44861.0)</f>
        <v>44861</v>
      </c>
      <c r="M103" s="19" t="str">
        <f>IFERROR(__xludf.DUMMYFUNCTION("""COMPUTED_VALUE"""),"LLOO")</f>
        <v>LLOO</v>
      </c>
      <c r="N103" s="19" t="str">
        <f>IFERROR(__xludf.DUMMYFUNCTION("""COMPUTED_VALUE"""),"PRIORIDAD 1 Q3 2023 OCTUBRE")</f>
        <v>PRIORIDAD 1 Q3 2023 OCTUBRE</v>
      </c>
    </row>
    <row r="104" ht="15.75" customHeight="1">
      <c r="A104" s="19" t="str">
        <f>IFERROR(__xludf.DUMMYFUNCTION("""COMPUTED_VALUE"""),"AB_0466")</f>
        <v>AB_0466</v>
      </c>
      <c r="B104" s="19" t="str">
        <f>IFERROR(__xludf.DUMMYFUNCTION("""COMPUTED_VALUE"""),"AB_0466_D")</f>
        <v>AB_0466_D</v>
      </c>
      <c r="C104" s="19" t="str">
        <f>IFERROR(__xludf.DUMMYFUNCTION("""COMPUTED_VALUE"""),"AT0466")</f>
        <v>AT0466</v>
      </c>
      <c r="D104" s="19" t="str">
        <f>IFERROR(__xludf.DUMMYFUNCTION("""COMPUTED_VALUE"""),"Aeropuerto Desierto de Atacama")</f>
        <v>Aeropuerto Desierto de Atacama</v>
      </c>
      <c r="E104" s="19" t="str">
        <f>IFERROR(__xludf.DUMMYFUNCTION("""COMPUTED_VALUE"""),"SITIO RFI")</f>
        <v>SITIO RFI</v>
      </c>
      <c r="F104" s="20" t="str">
        <f>IFERROR(__xludf.DUMMYFUNCTION("""COMPUTED_VALUE"""),"RFI")</f>
        <v>RFI</v>
      </c>
      <c r="G104" s="19" t="str">
        <f>IFERROR(__xludf.DUMMYFUNCTION("""COMPUTED_VALUE"""),"AS42")</f>
        <v>AS42</v>
      </c>
      <c r="H104" s="19" t="str">
        <f>IFERROR(__xludf.DUMMYFUNCTION("""COMPUTED_VALUE"""),"DEITEL")</f>
        <v>DEITEL</v>
      </c>
      <c r="I104" s="19" t="str">
        <f>IFERROR(__xludf.DUMMYFUNCTION("""COMPUTED_VALUE"""),"Entregada")</f>
        <v>Entregada</v>
      </c>
      <c r="J104" s="20">
        <f>IFERROR(__xludf.DUMMYFUNCTION("""COMPUTED_VALUE"""),44658.0)</f>
        <v>44658</v>
      </c>
      <c r="K104" s="19" t="str">
        <f>IFERROR(__xludf.DUMMYFUNCTION("""COMPUTED_VALUE"""),"Entregada")</f>
        <v>Entregada</v>
      </c>
      <c r="L104" s="20">
        <f>IFERROR(__xludf.DUMMYFUNCTION("""COMPUTED_VALUE"""),44645.0)</f>
        <v>44645</v>
      </c>
      <c r="M104" s="19" t="str">
        <f>IFERROR(__xludf.DUMMYFUNCTION("""COMPUTED_VALUE"""),"PCM")</f>
        <v>PCM</v>
      </c>
      <c r="N104" s="19" t="str">
        <f>IFERROR(__xludf.DUMMYFUNCTION("""COMPUTED_VALUE"""),"PRIORIDAD 1 Q3 2023 OCTUBRE")</f>
        <v>PRIORIDAD 1 Q3 2023 OCTUBRE</v>
      </c>
    </row>
    <row r="105" ht="15.75" customHeight="1">
      <c r="A105" s="19" t="str">
        <f>IFERROR(__xludf.DUMMYFUNCTION("""COMPUTED_VALUE"""),"AB_10189")</f>
        <v>AB_10189</v>
      </c>
      <c r="B105" s="19" t="str">
        <f>IFERROR(__xludf.DUMMYFUNCTION("""COMPUTED_VALUE"""),"AB_10189_B")</f>
        <v>AB_10189_B</v>
      </c>
      <c r="C105" s="19" t="str">
        <f>IFERROR(__xludf.DUMMYFUNCTION("""COMPUTED_VALUE"""),"AT10189")</f>
        <v>AT10189</v>
      </c>
      <c r="D105" s="19" t="str">
        <f>IFERROR(__xludf.DUMMYFUNCTION("""COMPUTED_VALUE"""),"El Transito Alto Del Carmen")</f>
        <v>El Transito Alto Del Carmen</v>
      </c>
      <c r="E105" s="19" t="str">
        <f>IFERROR(__xludf.DUMMYFUNCTION("""COMPUTED_VALUE"""),"DETENIDO ASUNTOS PUBLICOS")</f>
        <v>DETENIDO ASUNTOS PUBLICOS</v>
      </c>
      <c r="F105" s="19" t="str">
        <f>IFERROR(__xludf.DUMMYFUNCTION("""COMPUTED_VALUE"""),"ENFIERRADURA")</f>
        <v>ENFIERRADURA</v>
      </c>
      <c r="G105" s="19" t="str">
        <f>IFERROR(__xludf.DUMMYFUNCTION("""COMPUTED_VALUE"""),"AS30")</f>
        <v>AS30</v>
      </c>
      <c r="H105" s="19" t="str">
        <f>IFERROR(__xludf.DUMMYFUNCTION("""COMPUTED_VALUE"""),"METALING")</f>
        <v>METALING</v>
      </c>
      <c r="I105" s="19" t="str">
        <f>IFERROR(__xludf.DUMMYFUNCTION("""COMPUTED_VALUE"""),"Entregada")</f>
        <v>Entregada</v>
      </c>
      <c r="J105" s="20">
        <f>IFERROR(__xludf.DUMMYFUNCTION("""COMPUTED_VALUE"""),44736.0)</f>
        <v>44736</v>
      </c>
      <c r="K105" s="19" t="str">
        <f>IFERROR(__xludf.DUMMYFUNCTION("""COMPUTED_VALUE"""),"Entregada")</f>
        <v>Entregada</v>
      </c>
      <c r="L105" s="20">
        <f>IFERROR(__xludf.DUMMYFUNCTION("""COMPUTED_VALUE"""),44778.0)</f>
        <v>44778</v>
      </c>
      <c r="M105" s="19" t="str">
        <f>IFERROR(__xludf.DUMMYFUNCTION("""COMPUTED_VALUE"""),"PCM")</f>
        <v>PCM</v>
      </c>
      <c r="N105" s="19" t="str">
        <f>IFERROR(__xludf.DUMMYFUNCTION("""COMPUTED_VALUE"""),"PRIORIDAD 3 Q1 2024 MARZO")</f>
        <v>PRIORIDAD 3 Q1 2024 MARZO</v>
      </c>
    </row>
    <row r="106" ht="15.75" customHeight="1">
      <c r="A106" s="19" t="str">
        <f>IFERROR(__xludf.DUMMYFUNCTION("""COMPUTED_VALUE"""),"AB_10249")</f>
        <v>AB_10249</v>
      </c>
      <c r="B106" s="19" t="str">
        <f>IFERROR(__xludf.DUMMYFUNCTION("""COMPUTED_VALUE"""),"AB_10249_B")</f>
        <v>AB_10249_B</v>
      </c>
      <c r="C106" s="19" t="str">
        <f>IFERROR(__xludf.DUMMYFUNCTION("""COMPUTED_VALUE"""),"AT10249")</f>
        <v>AT10249</v>
      </c>
      <c r="D106" s="19" t="str">
        <f>IFERROR(__xludf.DUMMYFUNCTION("""COMPUTED_VALUE"""),"Caleta Angosta Huasco")</f>
        <v>Caleta Angosta Huasco</v>
      </c>
      <c r="E106" s="19" t="str">
        <f>IFERROR(__xludf.DUMMYFUNCTION("""COMPUTED_VALUE"""),"EN VALIDACION COMPRAS")</f>
        <v>EN VALIDACION COMPRAS</v>
      </c>
      <c r="F106" s="19"/>
      <c r="G106" s="19" t="str">
        <f>IFERROR(__xludf.DUMMYFUNCTION("""COMPUTED_VALUE"""),"CV60")</f>
        <v>CV60</v>
      </c>
      <c r="H106" s="19" t="str">
        <f>IFERROR(__xludf.DUMMYFUNCTION("""COMPUTED_VALUE"""),"DEPROMET")</f>
        <v>DEPROMET</v>
      </c>
      <c r="I106" s="19" t="str">
        <f>IFERROR(__xludf.DUMMYFUNCTION("""COMPUTED_VALUE"""),"Terminada")</f>
        <v>Terminada</v>
      </c>
      <c r="J106" s="20">
        <f>IFERROR(__xludf.DUMMYFUNCTION("""COMPUTED_VALUE"""),45001.0)</f>
        <v>45001</v>
      </c>
      <c r="K106" s="19" t="str">
        <f>IFERROR(__xludf.DUMMYFUNCTION("""COMPUTED_VALUE"""),"Por pintar ")</f>
        <v>Por pintar </v>
      </c>
      <c r="L106" s="20">
        <f>IFERROR(__xludf.DUMMYFUNCTION("""COMPUTED_VALUE"""),45037.0)</f>
        <v>45037</v>
      </c>
      <c r="M106" s="19" t="str">
        <f>IFERROR(__xludf.DUMMYFUNCTION("""COMPUTED_VALUE"""),"PCM")</f>
        <v>PCM</v>
      </c>
      <c r="N106" s="19" t="str">
        <f>IFERROR(__xludf.DUMMYFUNCTION("""COMPUTED_VALUE"""),"PRIORIDAD 1 Q3 2023 OCTUBRE")</f>
        <v>PRIORIDAD 1 Q3 2023 OCTUBRE</v>
      </c>
    </row>
    <row r="107" ht="15.75" customHeight="1">
      <c r="A107" s="19" t="str">
        <f>IFERROR(__xludf.DUMMYFUNCTION("""COMPUTED_VALUE"""),"AB_10252")</f>
        <v>AB_10252</v>
      </c>
      <c r="B107" s="19" t="str">
        <f>IFERROR(__xludf.DUMMYFUNCTION("""COMPUTED_VALUE"""),"AB_10252_D")</f>
        <v>AB_10252_D</v>
      </c>
      <c r="C107" s="19" t="str">
        <f>IFERROR(__xludf.DUMMYFUNCTION("""COMPUTED_VALUE"""),"AT10252")</f>
        <v>AT10252</v>
      </c>
      <c r="D107" s="19" t="str">
        <f>IFERROR(__xludf.DUMMYFUNCTION("""COMPUTED_VALUE"""),"Puente Nicolasa Freirina")</f>
        <v>Puente Nicolasa Freirina</v>
      </c>
      <c r="E107" s="19" t="str">
        <f>IFERROR(__xludf.DUMMYFUNCTION("""COMPUTED_VALUE"""),"SITIO RFI")</f>
        <v>SITIO RFI</v>
      </c>
      <c r="F107" s="20" t="str">
        <f>IFERROR(__xludf.DUMMYFUNCTION("""COMPUTED_VALUE"""),"RFI")</f>
        <v>RFI</v>
      </c>
      <c r="G107" s="19" t="str">
        <f>IFERROR(__xludf.DUMMYFUNCTION("""COMPUTED_VALUE"""),"CV60")</f>
        <v>CV60</v>
      </c>
      <c r="H107" s="19" t="str">
        <f>IFERROR(__xludf.DUMMYFUNCTION("""COMPUTED_VALUE"""),"MT")</f>
        <v>MT</v>
      </c>
      <c r="I107" s="19" t="str">
        <f>IFERROR(__xludf.DUMMYFUNCTION("""COMPUTED_VALUE"""),"Entregada")</f>
        <v>Entregada</v>
      </c>
      <c r="J107" s="20">
        <f>IFERROR(__xludf.DUMMYFUNCTION("""COMPUTED_VALUE"""),44636.0)</f>
        <v>44636</v>
      </c>
      <c r="K107" s="19" t="str">
        <f>IFERROR(__xludf.DUMMYFUNCTION("""COMPUTED_VALUE"""),"Entregada")</f>
        <v>Entregada</v>
      </c>
      <c r="L107" s="20">
        <f>IFERROR(__xludf.DUMMYFUNCTION("""COMPUTED_VALUE"""),44637.0)</f>
        <v>44637</v>
      </c>
      <c r="M107" s="19" t="str">
        <f>IFERROR(__xludf.DUMMYFUNCTION("""COMPUTED_VALUE"""),"PCM")</f>
        <v>PCM</v>
      </c>
      <c r="N107" s="19" t="str">
        <f>IFERROR(__xludf.DUMMYFUNCTION("""COMPUTED_VALUE"""),"PRIORIDAD 1 Q3 2023 OCTUBRE")</f>
        <v>PRIORIDAD 1 Q3 2023 OCTUBRE</v>
      </c>
    </row>
    <row r="108" ht="15.75" customHeight="1">
      <c r="A108" s="19" t="str">
        <f>IFERROR(__xludf.DUMMYFUNCTION("""COMPUTED_VALUE"""),"AB_10590")</f>
        <v>AB_10590</v>
      </c>
      <c r="B108" s="19" t="str">
        <f>IFERROR(__xludf.DUMMYFUNCTION("""COMPUTED_VALUE"""),"AB_10590_G")</f>
        <v>AB_10590_G</v>
      </c>
      <c r="C108" s="19" t="str">
        <f>IFERROR(__xludf.DUMMYFUNCTION("""COMPUTED_VALUE"""),"AT10590")</f>
        <v>AT10590</v>
      </c>
      <c r="D108" s="19" t="str">
        <f>IFERROR(__xludf.DUMMYFUNCTION("""COMPUTED_VALUE"""),"RPT Huasco Alto")</f>
        <v>RPT Huasco Alto</v>
      </c>
      <c r="E108" s="19" t="str">
        <f>IFERROR(__xludf.DUMMYFUNCTION("""COMPUTED_VALUE"""),"DETENIDO SAC")</f>
        <v>DETENIDO SAC</v>
      </c>
      <c r="F108" s="19"/>
      <c r="G108" s="19" t="str">
        <f>IFERROR(__xludf.DUMMYFUNCTION("""COMPUTED_VALUE"""),"CV42")</f>
        <v>CV42</v>
      </c>
      <c r="H108" s="19" t="str">
        <f>IFERROR(__xludf.DUMMYFUNCTION("""COMPUTED_VALUE"""),"INCOSERV")</f>
        <v>INCOSERV</v>
      </c>
      <c r="I108" s="19" t="str">
        <f>IFERROR(__xludf.DUMMYFUNCTION("""COMPUTED_VALUE"""),"Terminada")</f>
        <v>Terminada</v>
      </c>
      <c r="J108" s="20">
        <f>IFERROR(__xludf.DUMMYFUNCTION("""COMPUTED_VALUE"""),45034.0)</f>
        <v>45034</v>
      </c>
      <c r="K108" s="19" t="str">
        <f>IFERROR(__xludf.DUMMYFUNCTION("""COMPUTED_VALUE"""),"Terminada")</f>
        <v>Terminada</v>
      </c>
      <c r="L108" s="20">
        <f>IFERROR(__xludf.DUMMYFUNCTION("""COMPUTED_VALUE"""),45093.0)</f>
        <v>45093</v>
      </c>
      <c r="M108" s="19" t="str">
        <f>IFERROR(__xludf.DUMMYFUNCTION("""COMPUTED_VALUE"""),"PCM_3")</f>
        <v>PCM_3</v>
      </c>
      <c r="N108" s="19" t="str">
        <f>IFERROR(__xludf.DUMMYFUNCTION("""COMPUTED_VALUE"""),"PRIORIDAD 3 Q1 2024 MARZO")</f>
        <v>PRIORIDAD 3 Q1 2024 MARZO</v>
      </c>
    </row>
    <row r="109" ht="15.75" customHeight="1">
      <c r="A109" s="19" t="str">
        <f>IFERROR(__xludf.DUMMYFUNCTION("""COMPUTED_VALUE"""),"AB_10591")</f>
        <v>AB_10591</v>
      </c>
      <c r="B109" s="19" t="str">
        <f>IFERROR(__xludf.DUMMYFUNCTION("""COMPUTED_VALUE"""),"AB_10591_A")</f>
        <v>AB_10591_A</v>
      </c>
      <c r="C109" s="19" t="str">
        <f>IFERROR(__xludf.DUMMYFUNCTION("""COMPUTED_VALUE"""),"AT10591")</f>
        <v>AT10591</v>
      </c>
      <c r="D109" s="19" t="str">
        <f>IFERROR(__xludf.DUMMYFUNCTION("""COMPUTED_VALUE"""),"RPT Los Bronces")</f>
        <v>RPT Los Bronces</v>
      </c>
      <c r="E109" s="19" t="str">
        <f>IFERROR(__xludf.DUMMYFUNCTION("""COMPUTED_VALUE"""),"DETENIDO COMPRA ESTRUCTURA")</f>
        <v>DETENIDO COMPRA ESTRUCTURA</v>
      </c>
      <c r="F109" s="19"/>
      <c r="G109" s="19" t="str">
        <f>IFERROR(__xludf.DUMMYFUNCTION("""COMPUTED_VALUE"""),"CV60 E")</f>
        <v>CV60 E</v>
      </c>
      <c r="H109" s="19" t="str">
        <f>IFERROR(__xludf.DUMMYFUNCTION("""COMPUTED_VALUE"""),"COMPRAS")</f>
        <v>COMPRAS</v>
      </c>
      <c r="I109" s="19"/>
      <c r="J109" s="19"/>
      <c r="K109" s="19"/>
      <c r="L109" s="19"/>
      <c r="M109" s="19" t="str">
        <f>IFERROR(__xludf.DUMMYFUNCTION("""COMPUTED_VALUE"""),"PCM_3")</f>
        <v>PCM_3</v>
      </c>
      <c r="N109" s="19" t="str">
        <f>IFERROR(__xludf.DUMMYFUNCTION("""COMPUTED_VALUE"""),"PRIORIDAD 3 Q1 2024 MARZO")</f>
        <v>PRIORIDAD 3 Q1 2024 MARZO</v>
      </c>
    </row>
    <row r="110" ht="15.75" customHeight="1">
      <c r="A110" s="19" t="str">
        <f>IFERROR(__xludf.DUMMYFUNCTION("""COMPUTED_VALUE"""),"AB_10607")</f>
        <v>AB_10607</v>
      </c>
      <c r="B110" s="19" t="str">
        <f>IFERROR(__xludf.DUMMYFUNCTION("""COMPUTED_VALUE"""),"AB_10607_A")</f>
        <v>AB_10607_A</v>
      </c>
      <c r="C110" s="19" t="str">
        <f>IFERROR(__xludf.DUMMYFUNCTION("""COMPUTED_VALUE"""),"AT10607")</f>
        <v>AT10607</v>
      </c>
      <c r="D110" s="19" t="str">
        <f>IFERROR(__xludf.DUMMYFUNCTION("""COMPUTED_VALUE"""),"RPT_AMOLANAS")</f>
        <v>RPT_AMOLANAS</v>
      </c>
      <c r="E110" s="19" t="str">
        <f>IFERROR(__xludf.DUMMYFUNCTION("""COMPUTED_VALUE"""),"SITIO ASIGNADO")</f>
        <v>SITIO ASIGNADO</v>
      </c>
      <c r="F110" s="19"/>
      <c r="G110" s="19" t="str">
        <f>IFERROR(__xludf.DUMMYFUNCTION("""COMPUTED_VALUE"""),"CV48")</f>
        <v>CV48</v>
      </c>
      <c r="H110" s="19" t="str">
        <f>IFERROR(__xludf.DUMMYFUNCTION("""COMPUTED_VALUE"""),"MER")</f>
        <v>MER</v>
      </c>
      <c r="I110" s="19" t="str">
        <f>IFERROR(__xludf.DUMMYFUNCTION("""COMPUTED_VALUE"""),"Terminada")</f>
        <v>Terminada</v>
      </c>
      <c r="J110" s="20">
        <f>IFERROR(__xludf.DUMMYFUNCTION("""COMPUTED_VALUE"""),45051.0)</f>
        <v>45051</v>
      </c>
      <c r="K110" s="19" t="str">
        <f>IFERROR(__xludf.DUMMYFUNCTION("""COMPUTED_VALUE"""),"Por pintar ")</f>
        <v>Por pintar </v>
      </c>
      <c r="L110" s="20">
        <f>IFERROR(__xludf.DUMMYFUNCTION("""COMPUTED_VALUE"""),45054.0)</f>
        <v>45054</v>
      </c>
      <c r="M110" s="19" t="str">
        <f>IFERROR(__xludf.DUMMYFUNCTION("""COMPUTED_VALUE"""),"PCM_3")</f>
        <v>PCM_3</v>
      </c>
      <c r="N110" s="19" t="str">
        <f>IFERROR(__xludf.DUMMYFUNCTION("""COMPUTED_VALUE"""),"PRIORIDAD 3 Q1 2024 MARZO")</f>
        <v>PRIORIDAD 3 Q1 2024 MARZO</v>
      </c>
    </row>
    <row r="111" ht="15.75" customHeight="1">
      <c r="A111" s="19" t="str">
        <f>IFERROR(__xludf.DUMMYFUNCTION("""COMPUTED_VALUE"""),"AB_10611")</f>
        <v>AB_10611</v>
      </c>
      <c r="B111" s="19" t="str">
        <f>IFERROR(__xludf.DUMMYFUNCTION("""COMPUTED_VALUE"""),"AB_10611_A")</f>
        <v>AB_10611_A</v>
      </c>
      <c r="C111" s="19" t="str">
        <f>IFERROR(__xludf.DUMMYFUNCTION("""COMPUTED_VALUE"""),"AT10611")</f>
        <v>AT10611</v>
      </c>
      <c r="D111" s="19" t="str">
        <f>IFERROR(__xludf.DUMMYFUNCTION("""COMPUTED_VALUE"""),"RPT_Varas")</f>
        <v>RPT_Varas</v>
      </c>
      <c r="E111" s="19" t="str">
        <f>IFERROR(__xludf.DUMMYFUNCTION("""COMPUTED_VALUE"""),"SITIO RFI")</f>
        <v>SITIO RFI</v>
      </c>
      <c r="F111" s="19" t="str">
        <f>IFERROR(__xludf.DUMMYFUNCTION("""COMPUTED_VALUE"""),"RFI")</f>
        <v>RFI</v>
      </c>
      <c r="G111" s="19" t="str">
        <f>IFERROR(__xludf.DUMMYFUNCTION("""COMPUTED_VALUE"""),"CV48")</f>
        <v>CV48</v>
      </c>
      <c r="H111" s="19" t="str">
        <f>IFERROR(__xludf.DUMMYFUNCTION("""COMPUTED_VALUE"""),"INCOSERV")</f>
        <v>INCOSERV</v>
      </c>
      <c r="I111" s="19" t="str">
        <f>IFERROR(__xludf.DUMMYFUNCTION("""COMPUTED_VALUE"""),"Entregada")</f>
        <v>Entregada</v>
      </c>
      <c r="J111" s="20">
        <f>IFERROR(__xludf.DUMMYFUNCTION("""COMPUTED_VALUE"""),45034.0)</f>
        <v>45034</v>
      </c>
      <c r="K111" s="19" t="str">
        <f>IFERROR(__xludf.DUMMYFUNCTION("""COMPUTED_VALUE"""),"Entregada")</f>
        <v>Entregada</v>
      </c>
      <c r="L111" s="20">
        <f>IFERROR(__xludf.DUMMYFUNCTION("""COMPUTED_VALUE"""),45107.0)</f>
        <v>45107</v>
      </c>
      <c r="M111" s="19" t="str">
        <f>IFERROR(__xludf.DUMMYFUNCTION("""COMPUTED_VALUE"""),"PP_3")</f>
        <v>PP_3</v>
      </c>
      <c r="N111" s="19" t="str">
        <f>IFERROR(__xludf.DUMMYFUNCTION("""COMPUTED_VALUE"""),"PRIORIDAD 3 Q1 2024 MARZO")</f>
        <v>PRIORIDAD 3 Q1 2024 MARZO</v>
      </c>
    </row>
    <row r="112" ht="15.75" customHeight="1">
      <c r="A112" s="19" t="str">
        <f>IFERROR(__xludf.DUMMYFUNCTION("""COMPUTED_VALUE"""),"AB_10615")</f>
        <v>AB_10615</v>
      </c>
      <c r="B112" s="19" t="str">
        <f>IFERROR(__xludf.DUMMYFUNCTION("""COMPUTED_VALUE"""),"AB_10615_B")</f>
        <v>AB_10615_B</v>
      </c>
      <c r="C112" s="19" t="str">
        <f>IFERROR(__xludf.DUMMYFUNCTION("""COMPUTED_VALUE"""),"AT10615")</f>
        <v>AT10615</v>
      </c>
      <c r="D112" s="19" t="str">
        <f>IFERROR(__xludf.DUMMYFUNCTION("""COMPUTED_VALUE"""),"RPT_El Pleito")</f>
        <v>RPT_El Pleito</v>
      </c>
      <c r="E112" s="19" t="str">
        <f>IFERROR(__xludf.DUMMYFUNCTION("""COMPUTED_VALUE"""),"SITIO PENDIENTE")</f>
        <v>SITIO PENDIENTE</v>
      </c>
      <c r="F112" s="19"/>
      <c r="G112" s="19" t="str">
        <f>IFERROR(__xludf.DUMMYFUNCTION("""COMPUTED_VALUE"""),"x")</f>
        <v>x</v>
      </c>
      <c r="H112" s="19" t="str">
        <f>IFERROR(__xludf.DUMMYFUNCTION("""COMPUTED_VALUE"""),"x")</f>
        <v>x</v>
      </c>
      <c r="I112" s="19" t="str">
        <f>IFERROR(__xludf.DUMMYFUNCTION("""COMPUTED_VALUE"""),"x")</f>
        <v>x</v>
      </c>
      <c r="J112" s="20" t="str">
        <f>IFERROR(__xludf.DUMMYFUNCTION("""COMPUTED_VALUE"""),"x")</f>
        <v>x</v>
      </c>
      <c r="K112" s="19" t="str">
        <f>IFERROR(__xludf.DUMMYFUNCTION("""COMPUTED_VALUE"""),"x")</f>
        <v>x</v>
      </c>
      <c r="L112" s="20" t="str">
        <f>IFERROR(__xludf.DUMMYFUNCTION("""COMPUTED_VALUE"""),"x")</f>
        <v>x</v>
      </c>
      <c r="M112" s="19" t="str">
        <f>IFERROR(__xludf.DUMMYFUNCTION("""COMPUTED_VALUE"""),"LLOO_3")</f>
        <v>LLOO_3</v>
      </c>
      <c r="N112" s="19" t="str">
        <f>IFERROR(__xludf.DUMMYFUNCTION("""COMPUTED_VALUE"""),"PRIORIDAD 3 Q1 2024 MARZO")</f>
        <v>PRIORIDAD 3 Q1 2024 MARZO</v>
      </c>
    </row>
    <row r="113" ht="15.75" customHeight="1">
      <c r="A113" s="19" t="str">
        <f>IFERROR(__xludf.DUMMYFUNCTION("""COMPUTED_VALUE"""),"AB_10643")</f>
        <v>AB_10643</v>
      </c>
      <c r="B113" s="19" t="str">
        <f>IFERROR(__xludf.DUMMYFUNCTION("""COMPUTED_VALUE"""),"AB_10643_A")</f>
        <v>AB_10643_A</v>
      </c>
      <c r="C113" s="19" t="str">
        <f>IFERROR(__xludf.DUMMYFUNCTION("""COMPUTED_VALUE"""),"AT10643")</f>
        <v>AT10643</v>
      </c>
      <c r="D113" s="19" t="str">
        <f>IFERROR(__xludf.DUMMYFUNCTION("""COMPUTED_VALUE"""),"RPT_Pabellon")</f>
        <v>RPT_Pabellon</v>
      </c>
      <c r="E113" s="19" t="str">
        <f>IFERROR(__xludf.DUMMYFUNCTION("""COMPUTED_VALUE"""),"SITIO ASIGNADO")</f>
        <v>SITIO ASIGNADO</v>
      </c>
      <c r="F113" s="19"/>
      <c r="G113" s="19" t="str">
        <f>IFERROR(__xludf.DUMMYFUNCTION("""COMPUTED_VALUE"""),"CV36")</f>
        <v>CV36</v>
      </c>
      <c r="H113" s="19" t="str">
        <f>IFERROR(__xludf.DUMMYFUNCTION("""COMPUTED_VALUE"""),"INCOSERV")</f>
        <v>INCOSERV</v>
      </c>
      <c r="I113" s="19" t="str">
        <f>IFERROR(__xludf.DUMMYFUNCTION("""COMPUTED_VALUE"""),"Terminada")</f>
        <v>Terminada</v>
      </c>
      <c r="J113" s="20">
        <f>IFERROR(__xludf.DUMMYFUNCTION("""COMPUTED_VALUE"""),45034.0)</f>
        <v>45034</v>
      </c>
      <c r="K113" s="19" t="str">
        <f>IFERROR(__xludf.DUMMYFUNCTION("""COMPUTED_VALUE"""),"Por pintar ")</f>
        <v>Por pintar </v>
      </c>
      <c r="L113" s="20">
        <f>IFERROR(__xludf.DUMMYFUNCTION("""COMPUTED_VALUE"""),45093.0)</f>
        <v>45093</v>
      </c>
      <c r="M113" s="19" t="str">
        <f>IFERROR(__xludf.DUMMYFUNCTION("""COMPUTED_VALUE"""),"PCM_3")</f>
        <v>PCM_3</v>
      </c>
      <c r="N113" s="19" t="str">
        <f>IFERROR(__xludf.DUMMYFUNCTION("""COMPUTED_VALUE"""),"PRIORIDAD 3 Q1 2024 MARZO")</f>
        <v>PRIORIDAD 3 Q1 2024 MARZO</v>
      </c>
    </row>
    <row r="114" ht="15.75" customHeight="1">
      <c r="A114" s="19" t="str">
        <f>IFERROR(__xludf.DUMMYFUNCTION("""COMPUTED_VALUE"""),"AB_10733")</f>
        <v>AB_10733</v>
      </c>
      <c r="B114" s="19" t="str">
        <f>IFERROR(__xludf.DUMMYFUNCTION("""COMPUTED_VALUE"""),"AB_10733_A")</f>
        <v>AB_10733_A</v>
      </c>
      <c r="C114" s="19" t="str">
        <f>IFERROR(__xludf.DUMMYFUNCTION("""COMPUTED_VALUE"""),"AT10733")</f>
        <v>AT10733</v>
      </c>
      <c r="D114" s="19" t="str">
        <f>IFERROR(__xludf.DUMMYFUNCTION("""COMPUTED_VALUE"""),"Cerro Salado RU2")</f>
        <v>Cerro Salado RU2</v>
      </c>
      <c r="E114" s="19" t="str">
        <f>IFERROR(__xludf.DUMMYFUNCTION("""COMPUTED_VALUE"""),"SITIO RFI")</f>
        <v>SITIO RFI</v>
      </c>
      <c r="F114" s="19" t="str">
        <f>IFERROR(__xludf.DUMMYFUNCTION("""COMPUTED_VALUE"""),"RFI")</f>
        <v>RFI</v>
      </c>
      <c r="G114" s="19" t="str">
        <f>IFERROR(__xludf.DUMMYFUNCTION("""COMPUTED_VALUE"""),"AS24")</f>
        <v>AS24</v>
      </c>
      <c r="H114" s="19" t="str">
        <f>IFERROR(__xludf.DUMMYFUNCTION("""COMPUTED_VALUE"""),"SYC")</f>
        <v>SYC</v>
      </c>
      <c r="I114" s="19" t="str">
        <f>IFERROR(__xludf.DUMMYFUNCTION("""COMPUTED_VALUE"""),"Entregada")</f>
        <v>Entregada</v>
      </c>
      <c r="J114" s="20">
        <f>IFERROR(__xludf.DUMMYFUNCTION("""COMPUTED_VALUE"""),44494.0)</f>
        <v>44494</v>
      </c>
      <c r="K114" s="19" t="str">
        <f>IFERROR(__xludf.DUMMYFUNCTION("""COMPUTED_VALUE"""),"Entregada")</f>
        <v>Entregada</v>
      </c>
      <c r="L114" s="20">
        <f>IFERROR(__xludf.DUMMYFUNCTION("""COMPUTED_VALUE"""),44494.0)</f>
        <v>44494</v>
      </c>
      <c r="M114" s="19" t="str">
        <f>IFERROR(__xludf.DUMMYFUNCTION("""COMPUTED_VALUE"""),"PCM")</f>
        <v>PCM</v>
      </c>
      <c r="N114" s="19" t="str">
        <f>IFERROR(__xludf.DUMMYFUNCTION("""COMPUTED_VALUE"""),"PRIORIDAD 1 Q3 2023 OCTUBRE")</f>
        <v>PRIORIDAD 1 Q3 2023 OCTUBRE</v>
      </c>
    </row>
    <row r="115" ht="15.75" customHeight="1">
      <c r="A115" s="19" t="str">
        <f>IFERROR(__xludf.DUMMYFUNCTION("""COMPUTED_VALUE"""),"AB_1079")</f>
        <v>AB_1079</v>
      </c>
      <c r="B115" s="19" t="str">
        <f>IFERROR(__xludf.DUMMYFUNCTION("""COMPUTED_VALUE"""),"AB_1079_B")</f>
        <v>AB_1079_B</v>
      </c>
      <c r="C115" s="19" t="str">
        <f>IFERROR(__xludf.DUMMYFUNCTION("""COMPUTED_VALUE"""),"AT1079")</f>
        <v>AT1079</v>
      </c>
      <c r="D115" s="19" t="str">
        <f>IFERROR(__xludf.DUMMYFUNCTION("""COMPUTED_VALUE"""),"Copiapo Minera Candelaria")</f>
        <v>Copiapo Minera Candelaria</v>
      </c>
      <c r="E115" s="19" t="str">
        <f>IFERROR(__xludf.DUMMYFUNCTION("""COMPUTED_VALUE"""),"SITIO PENDIENTE")</f>
        <v>SITIO PENDIENTE</v>
      </c>
      <c r="F115" s="19"/>
      <c r="G115" s="19" t="str">
        <f>IFERROR(__xludf.DUMMYFUNCTION("""COMPUTED_VALUE"""),"AS42")</f>
        <v>AS42</v>
      </c>
      <c r="H115" s="19" t="str">
        <f>IFERROR(__xludf.DUMMYFUNCTION("""COMPUTED_VALUE"""),"")</f>
        <v/>
      </c>
      <c r="I115" s="19" t="str">
        <f>IFERROR(__xludf.DUMMYFUNCTION("""COMPUTED_VALUE"""),"")</f>
        <v/>
      </c>
      <c r="J115" s="20" t="str">
        <f>IFERROR(__xludf.DUMMYFUNCTION("""COMPUTED_VALUE"""),"")</f>
        <v/>
      </c>
      <c r="K115" s="19" t="str">
        <f>IFERROR(__xludf.DUMMYFUNCTION("""COMPUTED_VALUE"""),"")</f>
        <v/>
      </c>
      <c r="L115" s="20" t="str">
        <f>IFERROR(__xludf.DUMMYFUNCTION("""COMPUTED_VALUE"""),"")</f>
        <v/>
      </c>
      <c r="M115" s="19" t="str">
        <f>IFERROR(__xludf.DUMMYFUNCTION("""COMPUTED_VALUE"""),"PCM")</f>
        <v>PCM</v>
      </c>
      <c r="N115" s="19" t="str">
        <f>IFERROR(__xludf.DUMMYFUNCTION("""COMPUTED_VALUE"""),"PRIORIDAD 3 Q1 2024 MARZO")</f>
        <v>PRIORIDAD 3 Q1 2024 MARZO</v>
      </c>
    </row>
    <row r="116" ht="15.75" customHeight="1">
      <c r="A116" s="19" t="str">
        <f>IFERROR(__xludf.DUMMYFUNCTION("""COMPUTED_VALUE"""),"AB_1713")</f>
        <v>AB_1713</v>
      </c>
      <c r="B116" s="19" t="str">
        <f>IFERROR(__xludf.DUMMYFUNCTION("""COMPUTED_VALUE"""),"AB_1713_D")</f>
        <v>AB_1713_D</v>
      </c>
      <c r="C116" s="19" t="str">
        <f>IFERROR(__xludf.DUMMYFUNCTION("""COMPUTED_VALUE"""),"AT1713")</f>
        <v>AT1713</v>
      </c>
      <c r="D116" s="19" t="str">
        <f>IFERROR(__xludf.DUMMYFUNCTION("""COMPUTED_VALUE"""),"Cerro Las Cruces")</f>
        <v>Cerro Las Cruces</v>
      </c>
      <c r="E116" s="19" t="str">
        <f>IFERROR(__xludf.DUMMYFUNCTION("""COMPUTED_VALUE"""),"SITIO RFI")</f>
        <v>SITIO RFI</v>
      </c>
      <c r="F116" s="20" t="str">
        <f>IFERROR(__xludf.DUMMYFUNCTION("""COMPUTED_VALUE"""),"RFI")</f>
        <v>RFI</v>
      </c>
      <c r="G116" s="19" t="str">
        <f>IFERROR(__xludf.DUMMYFUNCTION("""COMPUTED_VALUE"""),"AS36")</f>
        <v>AS36</v>
      </c>
      <c r="H116" s="19" t="str">
        <f>IFERROR(__xludf.DUMMYFUNCTION("""COMPUTED_VALUE"""),"METALING")</f>
        <v>METALING</v>
      </c>
      <c r="I116" s="19" t="str">
        <f>IFERROR(__xludf.DUMMYFUNCTION("""COMPUTED_VALUE"""),"Entregada")</f>
        <v>Entregada</v>
      </c>
      <c r="J116" s="20">
        <f>IFERROR(__xludf.DUMMYFUNCTION("""COMPUTED_VALUE"""),44680.0)</f>
        <v>44680</v>
      </c>
      <c r="K116" s="19" t="str">
        <f>IFERROR(__xludf.DUMMYFUNCTION("""COMPUTED_VALUE"""),"Entregada")</f>
        <v>Entregada</v>
      </c>
      <c r="L116" s="20">
        <f>IFERROR(__xludf.DUMMYFUNCTION("""COMPUTED_VALUE"""),44722.0)</f>
        <v>44722</v>
      </c>
      <c r="M116" s="19" t="str">
        <f>IFERROR(__xludf.DUMMYFUNCTION("""COMPUTED_VALUE"""),"PCM")</f>
        <v>PCM</v>
      </c>
      <c r="N116" s="19" t="str">
        <f>IFERROR(__xludf.DUMMYFUNCTION("""COMPUTED_VALUE"""),"PRIORIDAD 1 Q3 2023 OCTUBRE")</f>
        <v>PRIORIDAD 1 Q3 2023 OCTUBRE</v>
      </c>
    </row>
    <row r="117" ht="15.75" customHeight="1">
      <c r="A117" s="19" t="str">
        <f>IFERROR(__xludf.DUMMYFUNCTION("""COMPUTED_VALUE"""),"AB_2174")</f>
        <v>AB_2174</v>
      </c>
      <c r="B117" s="19" t="str">
        <f>IFERROR(__xludf.DUMMYFUNCTION("""COMPUTED_VALUE"""),"AB_2174_B")</f>
        <v>AB_2174_B</v>
      </c>
      <c r="C117" s="19" t="str">
        <f>IFERROR(__xludf.DUMMYFUNCTION("""COMPUTED_VALUE"""),"AT2174")</f>
        <v>AT2174</v>
      </c>
      <c r="D117" s="19" t="str">
        <f>IFERROR(__xludf.DUMMYFUNCTION("""COMPUTED_VALUE"""),"Flamenco")</f>
        <v>Flamenco</v>
      </c>
      <c r="E117" s="19" t="str">
        <f>IFERROR(__xludf.DUMMYFUNCTION("""COMPUTED_VALUE"""),"SITIO PENDIENTE")</f>
        <v>SITIO PENDIENTE</v>
      </c>
      <c r="F117" s="19"/>
      <c r="G117" s="19" t="str">
        <f>IFERROR(__xludf.DUMMYFUNCTION("""COMPUTED_VALUE"""),"CV24")</f>
        <v>CV24</v>
      </c>
      <c r="H117" s="19" t="str">
        <f>IFERROR(__xludf.DUMMYFUNCTION("""COMPUTED_VALUE"""),"INGENIUS")</f>
        <v>INGENIUS</v>
      </c>
      <c r="I117" s="19" t="str">
        <f>IFERROR(__xludf.DUMMYFUNCTION("""COMPUTED_VALUE"""),"Terminada")</f>
        <v>Terminada</v>
      </c>
      <c r="J117" s="20">
        <f>IFERROR(__xludf.DUMMYFUNCTION("""COMPUTED_VALUE"""),45041.0)</f>
        <v>45041</v>
      </c>
      <c r="K117" s="19" t="str">
        <f>IFERROR(__xludf.DUMMYFUNCTION("""COMPUTED_VALUE"""),"Por pintar ")</f>
        <v>Por pintar </v>
      </c>
      <c r="L117" s="20">
        <f>IFERROR(__xludf.DUMMYFUNCTION("""COMPUTED_VALUE"""),45062.0)</f>
        <v>45062</v>
      </c>
      <c r="M117" s="19" t="str">
        <f>IFERROR(__xludf.DUMMYFUNCTION("""COMPUTED_VALUE"""),"PP")</f>
        <v>PP</v>
      </c>
      <c r="N117" s="19" t="str">
        <f>IFERROR(__xludf.DUMMYFUNCTION("""COMPUTED_VALUE"""),"PRIORIDAD 2 Q4 2023 DICIEMBRE")</f>
        <v>PRIORIDAD 2 Q4 2023 DICIEMBRE</v>
      </c>
    </row>
    <row r="118" ht="15.75" customHeight="1">
      <c r="A118" s="19" t="str">
        <f>IFERROR(__xludf.DUMMYFUNCTION("""COMPUTED_VALUE"""),"AB_2430")</f>
        <v>AB_2430</v>
      </c>
      <c r="B118" s="19" t="str">
        <f>IFERROR(__xludf.DUMMYFUNCTION("""COMPUTED_VALUE"""),"AB_2430_A")</f>
        <v>AB_2430_A</v>
      </c>
      <c r="C118" s="19" t="str">
        <f>IFERROR(__xludf.DUMMYFUNCTION("""COMPUTED_VALUE"""),"AT2430")</f>
        <v>AT2430</v>
      </c>
      <c r="D118" s="19" t="str">
        <f>IFERROR(__xludf.DUMMYFUNCTION("""COMPUTED_VALUE"""),"Minera Los Colorados")</f>
        <v>Minera Los Colorados</v>
      </c>
      <c r="E118" s="19" t="str">
        <f>IFERROR(__xludf.DUMMYFUNCTION("""COMPUTED_VALUE"""),"SITIO PENDIENTE")</f>
        <v>SITIO PENDIENTE</v>
      </c>
      <c r="F118" s="19"/>
      <c r="G118" s="19" t="str">
        <f>IFERROR(__xludf.DUMMYFUNCTION("""COMPUTED_VALUE"""),"AS30")</f>
        <v>AS30</v>
      </c>
      <c r="H118" s="19" t="str">
        <f>IFERROR(__xludf.DUMMYFUNCTION("""COMPUTED_VALUE"""),"")</f>
        <v/>
      </c>
      <c r="I118" s="19" t="str">
        <f>IFERROR(__xludf.DUMMYFUNCTION("""COMPUTED_VALUE"""),"")</f>
        <v/>
      </c>
      <c r="J118" s="20" t="str">
        <f>IFERROR(__xludf.DUMMYFUNCTION("""COMPUTED_VALUE"""),"")</f>
        <v/>
      </c>
      <c r="K118" s="19" t="str">
        <f>IFERROR(__xludf.DUMMYFUNCTION("""COMPUTED_VALUE"""),"")</f>
        <v/>
      </c>
      <c r="L118" s="20" t="str">
        <f>IFERROR(__xludf.DUMMYFUNCTION("""COMPUTED_VALUE"""),"")</f>
        <v/>
      </c>
      <c r="M118" s="19" t="str">
        <f>IFERROR(__xludf.DUMMYFUNCTION("""COMPUTED_VALUE"""),"PCM")</f>
        <v>PCM</v>
      </c>
      <c r="N118" s="19" t="str">
        <f>IFERROR(__xludf.DUMMYFUNCTION("""COMPUTED_VALUE"""),"PRIORIDAD 3 Q1 2024 MARZO")</f>
        <v>PRIORIDAD 3 Q1 2024 MARZO</v>
      </c>
    </row>
    <row r="119" ht="15.75" customHeight="1">
      <c r="A119" s="19" t="str">
        <f>IFERROR(__xludf.DUMMYFUNCTION("""COMPUTED_VALUE"""),"AB_3145")</f>
        <v>AB_3145</v>
      </c>
      <c r="B119" s="19" t="str">
        <f>IFERROR(__xludf.DUMMYFUNCTION("""COMPUTED_VALUE"""),"AB_3145_F")</f>
        <v>AB_3145_F</v>
      </c>
      <c r="C119" s="19" t="str">
        <f>IFERROR(__xludf.DUMMYFUNCTION("""COMPUTED_VALUE"""),"AT3145")</f>
        <v>AT3145</v>
      </c>
      <c r="D119" s="19" t="str">
        <f>IFERROR(__xludf.DUMMYFUNCTION("""COMPUTED_VALUE"""),"Camino Atacama")</f>
        <v>Camino Atacama</v>
      </c>
      <c r="E119" s="19" t="str">
        <f>IFERROR(__xludf.DUMMYFUNCTION("""COMPUTED_VALUE"""),"SITIO EN CONSTRUCCION")</f>
        <v>SITIO EN CONSTRUCCION</v>
      </c>
      <c r="F119" s="19" t="str">
        <f>IFERROR(__xludf.DUMMYFUNCTION("""COMPUTED_VALUE"""),"MONTAJE")</f>
        <v>MONTAJE</v>
      </c>
      <c r="G119" s="19" t="str">
        <f>IFERROR(__xludf.DUMMYFUNCTION("""COMPUTED_VALUE"""),"CV42")</f>
        <v>CV42</v>
      </c>
      <c r="H119" s="19" t="str">
        <f>IFERROR(__xludf.DUMMYFUNCTION("""COMPUTED_VALUE"""),"INCOSERV")</f>
        <v>INCOSERV</v>
      </c>
      <c r="I119" s="19" t="str">
        <f>IFERROR(__xludf.DUMMYFUNCTION("""COMPUTED_VALUE"""),"Entregada")</f>
        <v>Entregada</v>
      </c>
      <c r="J119" s="20">
        <f>IFERROR(__xludf.DUMMYFUNCTION("""COMPUTED_VALUE"""),45034.0)</f>
        <v>45034</v>
      </c>
      <c r="K119" s="19" t="str">
        <f>IFERROR(__xludf.DUMMYFUNCTION("""COMPUTED_VALUE"""),"Entregada")</f>
        <v>Entregada</v>
      </c>
      <c r="L119" s="20">
        <f>IFERROR(__xludf.DUMMYFUNCTION("""COMPUTED_VALUE"""),45066.0)</f>
        <v>45066</v>
      </c>
      <c r="M119" s="19" t="str">
        <f>IFERROR(__xludf.DUMMYFUNCTION("""COMPUTED_VALUE"""),"PP")</f>
        <v>PP</v>
      </c>
      <c r="N119" s="19" t="str">
        <f>IFERROR(__xludf.DUMMYFUNCTION("""COMPUTED_VALUE"""),"PRIORIDAD 2 Q4 2023 DICIEMBRE")</f>
        <v>PRIORIDAD 2 Q4 2023 DICIEMBRE</v>
      </c>
    </row>
    <row r="120" ht="15.75" customHeight="1">
      <c r="A120" s="19" t="str">
        <f>IFERROR(__xludf.DUMMYFUNCTION("""COMPUTED_VALUE"""),"AB_3361")</f>
        <v>AB_3361</v>
      </c>
      <c r="B120" s="19" t="str">
        <f>IFERROR(__xludf.DUMMYFUNCTION("""COMPUTED_VALUE"""),"AB_3361_E")</f>
        <v>AB_3361_E</v>
      </c>
      <c r="C120" s="19" t="str">
        <f>IFERROR(__xludf.DUMMYFUNCTION("""COMPUTED_VALUE"""),"AT3361")</f>
        <v>AT3361</v>
      </c>
      <c r="D120" s="19" t="str">
        <f>IFERROR(__xludf.DUMMYFUNCTION("""COMPUTED_VALUE"""),"Cruce Perales Sur")</f>
        <v>Cruce Perales Sur</v>
      </c>
      <c r="E120" s="19" t="str">
        <f>IFERROR(__xludf.DUMMYFUNCTION("""COMPUTED_VALUE"""),"SITIO RFI")</f>
        <v>SITIO RFI</v>
      </c>
      <c r="F120" s="19" t="str">
        <f>IFERROR(__xludf.DUMMYFUNCTION("""COMPUTED_VALUE"""),"RFI")</f>
        <v>RFI</v>
      </c>
      <c r="G120" s="19" t="str">
        <f>IFERROR(__xludf.DUMMYFUNCTION("""COMPUTED_VALUE"""),"AS60")</f>
        <v>AS60</v>
      </c>
      <c r="H120" s="19" t="str">
        <f>IFERROR(__xludf.DUMMYFUNCTION("""COMPUTED_VALUE"""),"AJ")</f>
        <v>AJ</v>
      </c>
      <c r="I120" s="19" t="str">
        <f>IFERROR(__xludf.DUMMYFUNCTION("""COMPUTED_VALUE"""),"Entregada")</f>
        <v>Entregada</v>
      </c>
      <c r="J120" s="20">
        <f>IFERROR(__xludf.DUMMYFUNCTION("""COMPUTED_VALUE"""),44176.0)</f>
        <v>44176</v>
      </c>
      <c r="K120" s="19" t="str">
        <f>IFERROR(__xludf.DUMMYFUNCTION("""COMPUTED_VALUE"""),"Entregada")</f>
        <v>Entregada</v>
      </c>
      <c r="L120" s="20">
        <f>IFERROR(__xludf.DUMMYFUNCTION("""COMPUTED_VALUE"""),44176.0)</f>
        <v>44176</v>
      </c>
      <c r="M120" s="19" t="str">
        <f>IFERROR(__xludf.DUMMYFUNCTION("""COMPUTED_VALUE"""),"PCM")</f>
        <v>PCM</v>
      </c>
      <c r="N120" s="19" t="str">
        <f>IFERROR(__xludf.DUMMYFUNCTION("""COMPUTED_VALUE"""),"PRIORIDAD 1 Q3 2023 OCTUBRE")</f>
        <v>PRIORIDAD 1 Q3 2023 OCTUBRE</v>
      </c>
    </row>
    <row r="121" ht="15.75" customHeight="1">
      <c r="A121" s="19" t="str">
        <f>IFERROR(__xludf.DUMMYFUNCTION("""COMPUTED_VALUE"""),"AB_3379")</f>
        <v>AB_3379</v>
      </c>
      <c r="B121" s="19" t="str">
        <f>IFERROR(__xludf.DUMMYFUNCTION("""COMPUTED_VALUE"""),"AB_3379_B")</f>
        <v>AB_3379_B</v>
      </c>
      <c r="C121" s="19" t="str">
        <f>IFERROR(__xludf.DUMMYFUNCTION("""COMPUTED_VALUE"""),"AT3379")</f>
        <v>AT3379</v>
      </c>
      <c r="D121" s="19" t="str">
        <f>IFERROR(__xludf.DUMMYFUNCTION("""COMPUTED_VALUE"""),"Valle Rio Copiapo")</f>
        <v>Valle Rio Copiapo</v>
      </c>
      <c r="E121" s="19" t="str">
        <f>IFERROR(__xludf.DUMMYFUNCTION("""COMPUTED_VALUE"""),"DETENIDO SAC")</f>
        <v>DETENIDO SAC</v>
      </c>
      <c r="F121" s="19" t="str">
        <f>IFERROR(__xludf.DUMMYFUNCTION("""COMPUTED_VALUE"""),"VISITA")</f>
        <v>VISITA</v>
      </c>
      <c r="G121" s="19" t="str">
        <f>IFERROR(__xludf.DUMMYFUNCTION("""COMPUTED_VALUE"""),"CV42")</f>
        <v>CV42</v>
      </c>
      <c r="H121" s="19" t="str">
        <f>IFERROR(__xludf.DUMMYFUNCTION("""COMPUTED_VALUE"""),"DEPROMET")</f>
        <v>DEPROMET</v>
      </c>
      <c r="I121" s="19" t="str">
        <f>IFERROR(__xludf.DUMMYFUNCTION("""COMPUTED_VALUE"""),"Terminada")</f>
        <v>Terminada</v>
      </c>
      <c r="J121" s="20">
        <f>IFERROR(__xludf.DUMMYFUNCTION("""COMPUTED_VALUE"""),44764.0)</f>
        <v>44764</v>
      </c>
      <c r="K121" s="19" t="str">
        <f>IFERROR(__xludf.DUMMYFUNCTION("""COMPUTED_VALUE"""),"Terminada")</f>
        <v>Terminada</v>
      </c>
      <c r="L121" s="20">
        <f>IFERROR(__xludf.DUMMYFUNCTION("""COMPUTED_VALUE"""),44778.0)</f>
        <v>44778</v>
      </c>
      <c r="M121" s="19" t="str">
        <f>IFERROR(__xludf.DUMMYFUNCTION("""COMPUTED_VALUE"""),"PCM")</f>
        <v>PCM</v>
      </c>
      <c r="N121" s="19" t="str">
        <f>IFERROR(__xludf.DUMMYFUNCTION("""COMPUTED_VALUE"""),"PRIORIDAD 1 Q3 2023 OCTUBRE")</f>
        <v>PRIORIDAD 1 Q3 2023 OCTUBRE</v>
      </c>
    </row>
    <row r="122" ht="15.75" customHeight="1">
      <c r="A122" s="19" t="str">
        <f>IFERROR(__xludf.DUMMYFUNCTION("""COMPUTED_VALUE"""),"AB_3382")</f>
        <v>AB_3382</v>
      </c>
      <c r="B122" s="19" t="str">
        <f>IFERROR(__xludf.DUMMYFUNCTION("""COMPUTED_VALUE"""),"AB_3382_B")</f>
        <v>AB_3382_B</v>
      </c>
      <c r="C122" s="19" t="str">
        <f>IFERROR(__xludf.DUMMYFUNCTION("""COMPUTED_VALUE"""),"AT3382")</f>
        <v>AT3382</v>
      </c>
      <c r="D122" s="19" t="str">
        <f>IFERROR(__xludf.DUMMYFUNCTION("""COMPUTED_VALUE"""),"Iglesia Carrizal")</f>
        <v>Iglesia Carrizal</v>
      </c>
      <c r="E122" s="19" t="str">
        <f>IFERROR(__xludf.DUMMYFUNCTION("""COMPUTED_VALUE"""),"SITIO RFI")</f>
        <v>SITIO RFI</v>
      </c>
      <c r="F122" s="19" t="str">
        <f>IFERROR(__xludf.DUMMYFUNCTION("""COMPUTED_VALUE"""),"MONTAJE")</f>
        <v>MONTAJE</v>
      </c>
      <c r="G122" s="19" t="str">
        <f>IFERROR(__xludf.DUMMYFUNCTION("""COMPUTED_VALUE"""),"CV42")</f>
        <v>CV42</v>
      </c>
      <c r="H122" s="19" t="str">
        <f>IFERROR(__xludf.DUMMYFUNCTION("""COMPUTED_VALUE"""),"DEPROMET")</f>
        <v>DEPROMET</v>
      </c>
      <c r="I122" s="19" t="str">
        <f>IFERROR(__xludf.DUMMYFUNCTION("""COMPUTED_VALUE"""),"Entregada")</f>
        <v>Entregada</v>
      </c>
      <c r="J122" s="20">
        <f>IFERROR(__xludf.DUMMYFUNCTION("""COMPUTED_VALUE"""),44764.0)</f>
        <v>44764</v>
      </c>
      <c r="K122" s="19" t="str">
        <f>IFERROR(__xludf.DUMMYFUNCTION("""COMPUTED_VALUE"""),"Entregada")</f>
        <v>Entregada</v>
      </c>
      <c r="L122" s="20">
        <f>IFERROR(__xludf.DUMMYFUNCTION("""COMPUTED_VALUE"""),44785.0)</f>
        <v>44785</v>
      </c>
      <c r="M122" s="19" t="str">
        <f>IFERROR(__xludf.DUMMYFUNCTION("""COMPUTED_VALUE"""),"PCM")</f>
        <v>PCM</v>
      </c>
      <c r="N122" s="19" t="str">
        <f>IFERROR(__xludf.DUMMYFUNCTION("""COMPUTED_VALUE"""),"PRIORIDAD 1 Q3 2023 OCTUBRE")</f>
        <v>PRIORIDAD 1 Q3 2023 OCTUBRE</v>
      </c>
    </row>
    <row r="123" ht="15.75" customHeight="1">
      <c r="A123" s="19" t="str">
        <f>IFERROR(__xludf.DUMMYFUNCTION("""COMPUTED_VALUE"""),"AB_3538")</f>
        <v>AB_3538</v>
      </c>
      <c r="B123" s="19" t="str">
        <f>IFERROR(__xludf.DUMMYFUNCTION("""COMPUTED_VALUE"""),"AB_3538_B")</f>
        <v>AB_3538_B</v>
      </c>
      <c r="C123" s="19" t="str">
        <f>IFERROR(__xludf.DUMMYFUNCTION("""COMPUTED_VALUE"""),"AT3538")</f>
        <v>AT3538</v>
      </c>
      <c r="D123" s="19" t="str">
        <f>IFERROR(__xludf.DUMMYFUNCTION("""COMPUTED_VALUE"""),"Caldera Puerto Totoralillo")</f>
        <v>Caldera Puerto Totoralillo</v>
      </c>
      <c r="E123" s="19" t="str">
        <f>IFERROR(__xludf.DUMMYFUNCTION("""COMPUTED_VALUE"""),"SITIO PENDIENTE")</f>
        <v>SITIO PENDIENTE</v>
      </c>
      <c r="F123" s="19"/>
      <c r="G123" s="19" t="str">
        <f>IFERROR(__xludf.DUMMYFUNCTION("""COMPUTED_VALUE"""),"CV60")</f>
        <v>CV60</v>
      </c>
      <c r="H123" s="19" t="str">
        <f>IFERROR(__xludf.DUMMYFUNCTION("""COMPUTED_VALUE"""),"DEPROMET")</f>
        <v>DEPROMET</v>
      </c>
      <c r="I123" s="19" t="str">
        <f>IFERROR(__xludf.DUMMYFUNCTION("""COMPUTED_VALUE"""),"Terminada")</f>
        <v>Terminada</v>
      </c>
      <c r="J123" s="20">
        <f>IFERROR(__xludf.DUMMYFUNCTION("""COMPUTED_VALUE"""),45001.0)</f>
        <v>45001</v>
      </c>
      <c r="K123" s="19" t="str">
        <f>IFERROR(__xludf.DUMMYFUNCTION("""COMPUTED_VALUE"""),"Por pintar ")</f>
        <v>Por pintar </v>
      </c>
      <c r="L123" s="20">
        <f>IFERROR(__xludf.DUMMYFUNCTION("""COMPUTED_VALUE"""),45044.0)</f>
        <v>45044</v>
      </c>
      <c r="M123" s="19" t="str">
        <f>IFERROR(__xludf.DUMMYFUNCTION("""COMPUTED_VALUE"""),"PCM")</f>
        <v>PCM</v>
      </c>
      <c r="N123" s="19" t="str">
        <f>IFERROR(__xludf.DUMMYFUNCTION("""COMPUTED_VALUE"""),"PRIORIDAD 2 Q4 2023 DICIEMBRE")</f>
        <v>PRIORIDAD 2 Q4 2023 DICIEMBRE</v>
      </c>
    </row>
    <row r="124" ht="15.75" customHeight="1">
      <c r="A124" s="19" t="str">
        <f>IFERROR(__xludf.DUMMYFUNCTION("""COMPUTED_VALUE"""),"AB_4515")</f>
        <v>AB_4515</v>
      </c>
      <c r="B124" s="19" t="str">
        <f>IFERROR(__xludf.DUMMYFUNCTION("""COMPUTED_VALUE"""),"AB_4515_C")</f>
        <v>AB_4515_C</v>
      </c>
      <c r="C124" s="19" t="str">
        <f>IFERROR(__xludf.DUMMYFUNCTION("""COMPUTED_VALUE"""),"AT4515")</f>
        <v>AT4515</v>
      </c>
      <c r="D124" s="19" t="str">
        <f>IFERROR(__xludf.DUMMYFUNCTION("""COMPUTED_VALUE"""),"Caleta Ruta")</f>
        <v>Caleta Ruta</v>
      </c>
      <c r="E124" s="19" t="str">
        <f>IFERROR(__xludf.DUMMYFUNCTION("""COMPUTED_VALUE"""),"SITIO ASIGNADO")</f>
        <v>SITIO ASIGNADO</v>
      </c>
      <c r="F124" s="19"/>
      <c r="G124" s="19" t="str">
        <f>IFERROR(__xludf.DUMMYFUNCTION("""COMPUTED_VALUE"""),"CV48")</f>
        <v>CV48</v>
      </c>
      <c r="H124" s="19" t="str">
        <f>IFERROR(__xludf.DUMMYFUNCTION("""COMPUTED_VALUE"""),"MER")</f>
        <v>MER</v>
      </c>
      <c r="I124" s="19" t="str">
        <f>IFERROR(__xludf.DUMMYFUNCTION("""COMPUTED_VALUE"""),"Terminada")</f>
        <v>Terminada</v>
      </c>
      <c r="J124" s="20">
        <f>IFERROR(__xludf.DUMMYFUNCTION("""COMPUTED_VALUE"""),45051.0)</f>
        <v>45051</v>
      </c>
      <c r="K124" s="19" t="str">
        <f>IFERROR(__xludf.DUMMYFUNCTION("""COMPUTED_VALUE"""),"Por pintar ")</f>
        <v>Por pintar </v>
      </c>
      <c r="L124" s="20">
        <f>IFERROR(__xludf.DUMMYFUNCTION("""COMPUTED_VALUE"""),45054.0)</f>
        <v>45054</v>
      </c>
      <c r="M124" s="19" t="str">
        <f>IFERROR(__xludf.DUMMYFUNCTION("""COMPUTED_VALUE"""),"PP")</f>
        <v>PP</v>
      </c>
      <c r="N124" s="19" t="str">
        <f>IFERROR(__xludf.DUMMYFUNCTION("""COMPUTED_VALUE"""),"PRIORIDAD 2 Q4 2023 DICIEMBRE")</f>
        <v>PRIORIDAD 2 Q4 2023 DICIEMBRE</v>
      </c>
    </row>
    <row r="125" ht="15.75" customHeight="1">
      <c r="A125" s="19" t="str">
        <f>IFERROR(__xludf.DUMMYFUNCTION("""COMPUTED_VALUE"""),"AB_4516")</f>
        <v>AB_4516</v>
      </c>
      <c r="B125" s="19" t="str">
        <f>IFERROR(__xludf.DUMMYFUNCTION("""COMPUTED_VALUE"""),"AB_4516_B")</f>
        <v>AB_4516_B</v>
      </c>
      <c r="C125" s="19" t="str">
        <f>IFERROR(__xludf.DUMMYFUNCTION("""COMPUTED_VALUE"""),"AT4516")</f>
        <v>AT4516</v>
      </c>
      <c r="D125" s="19" t="str">
        <f>IFERROR(__xludf.DUMMYFUNCTION("""COMPUTED_VALUE"""),"Caleta del Obispo")</f>
        <v>Caleta del Obispo</v>
      </c>
      <c r="E125" s="19" t="str">
        <f>IFERROR(__xludf.DUMMYFUNCTION("""COMPUTED_VALUE"""),"SITIO RFI")</f>
        <v>SITIO RFI</v>
      </c>
      <c r="F125" s="19" t="str">
        <f>IFERROR(__xludf.DUMMYFUNCTION("""COMPUTED_VALUE"""),"MONTAJE")</f>
        <v>MONTAJE</v>
      </c>
      <c r="G125" s="19" t="str">
        <f>IFERROR(__xludf.DUMMYFUNCTION("""COMPUTED_VALUE"""),"AS60")</f>
        <v>AS60</v>
      </c>
      <c r="H125" s="19" t="str">
        <f>IFERROR(__xludf.DUMMYFUNCTION("""COMPUTED_VALUE"""),"ADM")</f>
        <v>ADM</v>
      </c>
      <c r="I125" s="19" t="str">
        <f>IFERROR(__xludf.DUMMYFUNCTION("""COMPUTED_VALUE"""),"Entregada")</f>
        <v>Entregada</v>
      </c>
      <c r="J125" s="20">
        <f>IFERROR(__xludf.DUMMYFUNCTION("""COMPUTED_VALUE"""),44750.0)</f>
        <v>44750</v>
      </c>
      <c r="K125" s="19" t="str">
        <f>IFERROR(__xludf.DUMMYFUNCTION("""COMPUTED_VALUE"""),"Terminada")</f>
        <v>Terminada</v>
      </c>
      <c r="L125" s="20">
        <f>IFERROR(__xludf.DUMMYFUNCTION("""COMPUTED_VALUE"""),44778.0)</f>
        <v>44778</v>
      </c>
      <c r="M125" s="19" t="str">
        <f>IFERROR(__xludf.DUMMYFUNCTION("""COMPUTED_VALUE"""),"PP")</f>
        <v>PP</v>
      </c>
      <c r="N125" s="19" t="str">
        <f>IFERROR(__xludf.DUMMYFUNCTION("""COMPUTED_VALUE"""),"PRIORIDAD 2 Q4 2023 DICIEMBRE")</f>
        <v>PRIORIDAD 2 Q4 2023 DICIEMBRE</v>
      </c>
    </row>
    <row r="126" ht="15.75" customHeight="1">
      <c r="A126" s="19" t="str">
        <f>IFERROR(__xludf.DUMMYFUNCTION("""COMPUTED_VALUE"""),"AB_10424")</f>
        <v>AB_10424</v>
      </c>
      <c r="B126" s="19" t="str">
        <f>IFERROR(__xludf.DUMMYFUNCTION("""COMPUTED_VALUE"""),"AB_10424_D")</f>
        <v>AB_10424_D</v>
      </c>
      <c r="C126" s="19" t="str">
        <f>IFERROR(__xludf.DUMMYFUNCTION("""COMPUTED_VALUE"""),"AR10424")</f>
        <v>AR10424</v>
      </c>
      <c r="D126" s="19" t="str">
        <f>IFERROR(__xludf.DUMMYFUNCTION("""COMPUTED_VALUE"""),"LLOO Playa Hueñalihuen")</f>
        <v>LLOO Playa Hueñalihuen</v>
      </c>
      <c r="E126" s="19" t="str">
        <f>IFERROR(__xludf.DUMMYFUNCTION("""COMPUTED_VALUE"""),"SITIO CONSTRUIDO")</f>
        <v>SITIO CONSTRUIDO</v>
      </c>
      <c r="F126" s="19" t="str">
        <f>IFERROR(__xludf.DUMMYFUNCTION("""COMPUTED_VALUE"""),"ENFIERRADURA")</f>
        <v>ENFIERRADURA</v>
      </c>
      <c r="G126" s="19" t="str">
        <f>IFERROR(__xludf.DUMMYFUNCTION("""COMPUTED_VALUE"""),"AS60")</f>
        <v>AS60</v>
      </c>
      <c r="H126" s="19" t="str">
        <f>IFERROR(__xludf.DUMMYFUNCTION("""COMPUTED_VALUE"""),"ADM")</f>
        <v>ADM</v>
      </c>
      <c r="I126" s="19" t="str">
        <f>IFERROR(__xludf.DUMMYFUNCTION("""COMPUTED_VALUE"""),"Entregada")</f>
        <v>Entregada</v>
      </c>
      <c r="J126" s="20">
        <f>IFERROR(__xludf.DUMMYFUNCTION("""COMPUTED_VALUE"""),44750.0)</f>
        <v>44750</v>
      </c>
      <c r="K126" s="19" t="str">
        <f>IFERROR(__xludf.DUMMYFUNCTION("""COMPUTED_VALUE"""),"Entregada")</f>
        <v>Entregada</v>
      </c>
      <c r="L126" s="20">
        <f>IFERROR(__xludf.DUMMYFUNCTION("""COMPUTED_VALUE"""),44778.0)</f>
        <v>44778</v>
      </c>
      <c r="M126" s="19" t="str">
        <f>IFERROR(__xludf.DUMMYFUNCTION("""COMPUTED_VALUE"""),"LLOO")</f>
        <v>LLOO</v>
      </c>
      <c r="N126" s="19" t="str">
        <f>IFERROR(__xludf.DUMMYFUNCTION("""COMPUTED_VALUE"""),"PRIORIDAD 1 Q3 2023 OCTUBRE")</f>
        <v>PRIORIDAD 1 Q3 2023 OCTUBRE</v>
      </c>
    </row>
    <row r="127" ht="15.75" customHeight="1">
      <c r="A127" s="19" t="str">
        <f>IFERROR(__xludf.DUMMYFUNCTION("""COMPUTED_VALUE"""),"AB_7297")</f>
        <v>AB_7297</v>
      </c>
      <c r="B127" s="19" t="str">
        <f>IFERROR(__xludf.DUMMYFUNCTION("""COMPUTED_VALUE"""),"AB_7297_B")</f>
        <v>AB_7297_B</v>
      </c>
      <c r="C127" s="19" t="str">
        <f>IFERROR(__xludf.DUMMYFUNCTION("""COMPUTED_VALUE"""),"AT7297")</f>
        <v>AT7297</v>
      </c>
      <c r="D127" s="19" t="str">
        <f>IFERROR(__xludf.DUMMYFUNCTION("""COMPUTED_VALUE"""),"Chañaral HUB RU")</f>
        <v>Chañaral HUB RU</v>
      </c>
      <c r="E127" s="19" t="str">
        <f>IFERROR(__xludf.DUMMYFUNCTION("""COMPUTED_VALUE"""),"SITIO RFI")</f>
        <v>SITIO RFI</v>
      </c>
      <c r="F127" s="19" t="str">
        <f>IFERROR(__xludf.DUMMYFUNCTION("""COMPUTED_VALUE"""),"RFI")</f>
        <v>RFI</v>
      </c>
      <c r="G127" s="19" t="str">
        <f>IFERROR(__xludf.DUMMYFUNCTION("""COMPUTED_VALUE"""),"AS60")</f>
        <v>AS60</v>
      </c>
      <c r="H127" s="19" t="str">
        <f>IFERROR(__xludf.DUMMYFUNCTION("""COMPUTED_VALUE"""),"AJ")</f>
        <v>AJ</v>
      </c>
      <c r="I127" s="19" t="str">
        <f>IFERROR(__xludf.DUMMYFUNCTION("""COMPUTED_VALUE"""),"Entregada")</f>
        <v>Entregada</v>
      </c>
      <c r="J127" s="20">
        <f>IFERROR(__xludf.DUMMYFUNCTION("""COMPUTED_VALUE"""),44496.0)</f>
        <v>44496</v>
      </c>
      <c r="K127" s="19" t="str">
        <f>IFERROR(__xludf.DUMMYFUNCTION("""COMPUTED_VALUE"""),"Entregada")</f>
        <v>Entregada</v>
      </c>
      <c r="L127" s="20">
        <f>IFERROR(__xludf.DUMMYFUNCTION("""COMPUTED_VALUE"""),44496.0)</f>
        <v>44496</v>
      </c>
      <c r="M127" s="19" t="str">
        <f>IFERROR(__xludf.DUMMYFUNCTION("""COMPUTED_VALUE"""),"PCM")</f>
        <v>PCM</v>
      </c>
      <c r="N127" s="19" t="str">
        <f>IFERROR(__xludf.DUMMYFUNCTION("""COMPUTED_VALUE"""),"PRIORIDAD 1 Q3 2023 OCTUBRE")</f>
        <v>PRIORIDAD 1 Q3 2023 OCTUBRE</v>
      </c>
    </row>
    <row r="128" ht="15.75" customHeight="1">
      <c r="A128" s="19" t="str">
        <f>IFERROR(__xludf.DUMMYFUNCTION("""COMPUTED_VALUE"""),"AB_8792")</f>
        <v>AB_8792</v>
      </c>
      <c r="B128" s="19" t="str">
        <f>IFERROR(__xludf.DUMMYFUNCTION("""COMPUTED_VALUE"""),"AB_8792_C")</f>
        <v>AB_8792_C</v>
      </c>
      <c r="C128" s="19" t="str">
        <f>IFERROR(__xludf.DUMMYFUNCTION("""COMPUTED_VALUE"""),"AT8792")</f>
        <v>AT8792</v>
      </c>
      <c r="D128" s="19" t="str">
        <f>IFERROR(__xludf.DUMMYFUNCTION("""COMPUTED_VALUE"""),"Puerto Las Losas Huasco")</f>
        <v>Puerto Las Losas Huasco</v>
      </c>
      <c r="E128" s="19" t="str">
        <f>IFERROR(__xludf.DUMMYFUNCTION("""COMPUTED_VALUE"""),"SITIO PENDIENTE")</f>
        <v>SITIO PENDIENTE</v>
      </c>
      <c r="F128" s="19"/>
      <c r="G128" s="19" t="str">
        <f>IFERROR(__xludf.DUMMYFUNCTION("""COMPUTED_VALUE"""),"MP18")</f>
        <v>MP18</v>
      </c>
      <c r="H128" s="19" t="str">
        <f>IFERROR(__xludf.DUMMYFUNCTION("""COMPUTED_VALUE"""),"")</f>
        <v/>
      </c>
      <c r="I128" s="19" t="str">
        <f>IFERROR(__xludf.DUMMYFUNCTION("""COMPUTED_VALUE"""),"")</f>
        <v/>
      </c>
      <c r="J128" s="20" t="str">
        <f>IFERROR(__xludf.DUMMYFUNCTION("""COMPUTED_VALUE"""),"")</f>
        <v/>
      </c>
      <c r="K128" s="19" t="str">
        <f>IFERROR(__xludf.DUMMYFUNCTION("""COMPUTED_VALUE"""),"")</f>
        <v/>
      </c>
      <c r="L128" s="20" t="str">
        <f>IFERROR(__xludf.DUMMYFUNCTION("""COMPUTED_VALUE"""),"")</f>
        <v/>
      </c>
      <c r="M128" s="19" t="str">
        <f>IFERROR(__xludf.DUMMYFUNCTION("""COMPUTED_VALUE"""),"PCM")</f>
        <v>PCM</v>
      </c>
      <c r="N128" s="19" t="str">
        <f>IFERROR(__xludf.DUMMYFUNCTION("""COMPUTED_VALUE"""),"PRIORIDAD 3 Q1 2024 MARZO")</f>
        <v>PRIORIDAD 3 Q1 2024 MARZO</v>
      </c>
    </row>
    <row r="129" ht="15.75" customHeight="1">
      <c r="A129" s="19" t="str">
        <f>IFERROR(__xludf.DUMMYFUNCTION("""COMPUTED_VALUE"""),"AB_8796")</f>
        <v>AB_8796</v>
      </c>
      <c r="B129" s="19" t="str">
        <f>IFERROR(__xludf.DUMMYFUNCTION("""COMPUTED_VALUE"""),"AB_8796_C")</f>
        <v>AB_8796_C</v>
      </c>
      <c r="C129" s="19" t="str">
        <f>IFERROR(__xludf.DUMMYFUNCTION("""COMPUTED_VALUE"""),"AT8796")</f>
        <v>AT8796</v>
      </c>
      <c r="D129" s="19" t="str">
        <f>IFERROR(__xludf.DUMMYFUNCTION("""COMPUTED_VALUE"""),"El Salado Pueblo")</f>
        <v>El Salado Pueblo</v>
      </c>
      <c r="E129" s="19" t="str">
        <f>IFERROR(__xludf.DUMMYFUNCTION("""COMPUTED_VALUE"""),"SITIO RFI")</f>
        <v>SITIO RFI</v>
      </c>
      <c r="F129" s="19" t="str">
        <f>IFERROR(__xludf.DUMMYFUNCTION("""COMPUTED_VALUE"""),"RFI")</f>
        <v>RFI</v>
      </c>
      <c r="G129" s="19" t="str">
        <f>IFERROR(__xludf.DUMMYFUNCTION("""COMPUTED_VALUE"""),"MP R30")</f>
        <v>MP R30</v>
      </c>
      <c r="H129" s="19" t="str">
        <f>IFERROR(__xludf.DUMMYFUNCTION("""COMPUTED_VALUE"""),"DEITEL")</f>
        <v>DEITEL</v>
      </c>
      <c r="I129" s="19" t="str">
        <f>IFERROR(__xludf.DUMMYFUNCTION("""COMPUTED_VALUE"""),"Entregada")</f>
        <v>Entregada</v>
      </c>
      <c r="J129" s="20">
        <f>IFERROR(__xludf.DUMMYFUNCTION("""COMPUTED_VALUE"""),44950.0)</f>
        <v>44950</v>
      </c>
      <c r="K129" s="19" t="str">
        <f>IFERROR(__xludf.DUMMYFUNCTION("""COMPUTED_VALUE"""),"Entregada")</f>
        <v>Entregada</v>
      </c>
      <c r="L129" s="20">
        <f>IFERROR(__xludf.DUMMYFUNCTION("""COMPUTED_VALUE"""),44983.0)</f>
        <v>44983</v>
      </c>
      <c r="M129" s="19" t="str">
        <f>IFERROR(__xludf.DUMMYFUNCTION("""COMPUTED_VALUE"""),"PCM")</f>
        <v>PCM</v>
      </c>
      <c r="N129" s="19" t="str">
        <f>IFERROR(__xludf.DUMMYFUNCTION("""COMPUTED_VALUE"""),"PRIORIDAD 1 Q3 2023 OCTUBRE")</f>
        <v>PRIORIDAD 1 Q3 2023 OCTUBRE</v>
      </c>
    </row>
    <row r="130" ht="15.75" customHeight="1">
      <c r="A130" s="19" t="str">
        <f>IFERROR(__xludf.DUMMYFUNCTION("""COMPUTED_VALUE"""),"AB_9105")</f>
        <v>AB_9105</v>
      </c>
      <c r="B130" s="19" t="str">
        <f>IFERROR(__xludf.DUMMYFUNCTION("""COMPUTED_VALUE"""),"AB_9105_C")</f>
        <v>AB_9105_C</v>
      </c>
      <c r="C130" s="19" t="str">
        <f>IFERROR(__xludf.DUMMYFUNCTION("""COMPUTED_VALUE"""),"AT9105")</f>
        <v>AT9105</v>
      </c>
      <c r="D130" s="19" t="str">
        <f>IFERROR(__xludf.DUMMYFUNCTION("""COMPUTED_VALUE"""),"Carrizalillo")</f>
        <v>Carrizalillo</v>
      </c>
      <c r="E130" s="19" t="str">
        <f>IFERROR(__xludf.DUMMYFUNCTION("""COMPUTED_VALUE"""),"SITIO RFI")</f>
        <v>SITIO RFI</v>
      </c>
      <c r="F130" s="20" t="str">
        <f>IFERROR(__xludf.DUMMYFUNCTION("""COMPUTED_VALUE"""),"RFI")</f>
        <v>RFI</v>
      </c>
      <c r="G130" s="19" t="str">
        <f>IFERROR(__xludf.DUMMYFUNCTION("""COMPUTED_VALUE"""),"AS42")</f>
        <v>AS42</v>
      </c>
      <c r="H130" s="19" t="str">
        <f>IFERROR(__xludf.DUMMYFUNCTION("""COMPUTED_VALUE"""),"JTI")</f>
        <v>JTI</v>
      </c>
      <c r="I130" s="19" t="str">
        <f>IFERROR(__xludf.DUMMYFUNCTION("""COMPUTED_VALUE"""),"Entregada")</f>
        <v>Entregada</v>
      </c>
      <c r="J130" s="20">
        <f>IFERROR(__xludf.DUMMYFUNCTION("""COMPUTED_VALUE"""),44643.0)</f>
        <v>44643</v>
      </c>
      <c r="K130" s="19" t="str">
        <f>IFERROR(__xludf.DUMMYFUNCTION("""COMPUTED_VALUE"""),"Entregada")</f>
        <v>Entregada</v>
      </c>
      <c r="L130" s="20">
        <f>IFERROR(__xludf.DUMMYFUNCTION("""COMPUTED_VALUE"""),44650.0)</f>
        <v>44650</v>
      </c>
      <c r="M130" s="19" t="str">
        <f>IFERROR(__xludf.DUMMYFUNCTION("""COMPUTED_VALUE"""),"PCM")</f>
        <v>PCM</v>
      </c>
      <c r="N130" s="19" t="str">
        <f>IFERROR(__xludf.DUMMYFUNCTION("""COMPUTED_VALUE"""),"PRIORIDAD 1 Q3 2023 OCTUBRE")</f>
        <v>PRIORIDAD 1 Q3 2023 OCTUBRE</v>
      </c>
    </row>
    <row r="131" ht="15.75" customHeight="1">
      <c r="A131" s="19" t="str">
        <f>IFERROR(__xludf.DUMMYFUNCTION("""COMPUTED_VALUE"""),"AB_9409")</f>
        <v>AB_9409</v>
      </c>
      <c r="B131" s="19" t="str">
        <f>IFERROR(__xludf.DUMMYFUNCTION("""COMPUTED_VALUE"""),"AB_9409_A")</f>
        <v>AB_9409_A</v>
      </c>
      <c r="C131" s="19" t="str">
        <f>IFERROR(__xludf.DUMMYFUNCTION("""COMPUTED_VALUE"""),"AT9409")</f>
        <v>AT9409</v>
      </c>
      <c r="D131" s="19" t="str">
        <f>IFERROR(__xludf.DUMMYFUNCTION("""COMPUTED_VALUE"""),"Cuesta Portezuelo Blanco")</f>
        <v>Cuesta Portezuelo Blanco</v>
      </c>
      <c r="E131" s="19" t="str">
        <f>IFERROR(__xludf.DUMMYFUNCTION("""COMPUTED_VALUE"""),"SITIO EN CONSTRUCCION")</f>
        <v>SITIO EN CONSTRUCCION</v>
      </c>
      <c r="F131" s="19" t="str">
        <f>IFERROR(__xludf.DUMMYFUNCTION("""COMPUTED_VALUE"""),"MONTAJE")</f>
        <v>MONTAJE</v>
      </c>
      <c r="G131" s="19" t="str">
        <f>IFERROR(__xludf.DUMMYFUNCTION("""COMPUTED_VALUE"""),"CV42")</f>
        <v>CV42</v>
      </c>
      <c r="H131" s="19" t="str">
        <f>IFERROR(__xludf.DUMMYFUNCTION("""COMPUTED_VALUE"""),"DEPROMET")</f>
        <v>DEPROMET</v>
      </c>
      <c r="I131" s="19" t="str">
        <f>IFERROR(__xludf.DUMMYFUNCTION("""COMPUTED_VALUE"""),"Entregada")</f>
        <v>Entregada</v>
      </c>
      <c r="J131" s="20">
        <f>IFERROR(__xludf.DUMMYFUNCTION("""COMPUTED_VALUE"""),44764.0)</f>
        <v>44764</v>
      </c>
      <c r="K131" s="19" t="str">
        <f>IFERROR(__xludf.DUMMYFUNCTION("""COMPUTED_VALUE"""),"Entregada")</f>
        <v>Entregada</v>
      </c>
      <c r="L131" s="20">
        <f>IFERROR(__xludf.DUMMYFUNCTION("""COMPUTED_VALUE"""),44785.0)</f>
        <v>44785</v>
      </c>
      <c r="M131" s="19" t="str">
        <f>IFERROR(__xludf.DUMMYFUNCTION("""COMPUTED_VALUE"""),"PCM")</f>
        <v>PCM</v>
      </c>
      <c r="N131" s="19" t="str">
        <f>IFERROR(__xludf.DUMMYFUNCTION("""COMPUTED_VALUE"""),"PRIORIDAD 1 Q3 2023 OCTUBRE")</f>
        <v>PRIORIDAD 1 Q3 2023 OCTUBRE</v>
      </c>
    </row>
    <row r="132" ht="15.75" customHeight="1">
      <c r="A132" s="19" t="str">
        <f>IFERROR(__xludf.DUMMYFUNCTION("""COMPUTED_VALUE"""),"AB_9536")</f>
        <v>AB_9536</v>
      </c>
      <c r="B132" s="19" t="str">
        <f>IFERROR(__xludf.DUMMYFUNCTION("""COMPUTED_VALUE"""),"AB_9536_A")</f>
        <v>AB_9536_A</v>
      </c>
      <c r="C132" s="19" t="str">
        <f>IFERROR(__xludf.DUMMYFUNCTION("""COMPUTED_VALUE"""),"AT9536")</f>
        <v>AT9536</v>
      </c>
      <c r="D132" s="19" t="str">
        <f>IFERROR(__xludf.DUMMYFUNCTION("""COMPUTED_VALUE"""),"Ruta 5 Campamento Santa Marta")</f>
        <v>Ruta 5 Campamento Santa Marta</v>
      </c>
      <c r="E132" s="19" t="str">
        <f>IFERROR(__xludf.DUMMYFUNCTION("""COMPUTED_VALUE"""),"SITIO ASIGNADO")</f>
        <v>SITIO ASIGNADO</v>
      </c>
      <c r="F132" s="19"/>
      <c r="G132" s="19" t="str">
        <f>IFERROR(__xludf.DUMMYFUNCTION("""COMPUTED_VALUE"""),"CV48")</f>
        <v>CV48</v>
      </c>
      <c r="H132" s="19" t="str">
        <f>IFERROR(__xludf.DUMMYFUNCTION("""COMPUTED_VALUE"""),"MER")</f>
        <v>MER</v>
      </c>
      <c r="I132" s="19" t="str">
        <f>IFERROR(__xludf.DUMMYFUNCTION("""COMPUTED_VALUE"""),"Terminada")</f>
        <v>Terminada</v>
      </c>
      <c r="J132" s="20">
        <f>IFERROR(__xludf.DUMMYFUNCTION("""COMPUTED_VALUE"""),45051.0)</f>
        <v>45051</v>
      </c>
      <c r="K132" s="19" t="str">
        <f>IFERROR(__xludf.DUMMYFUNCTION("""COMPUTED_VALUE"""),"Por pintar ")</f>
        <v>Por pintar </v>
      </c>
      <c r="L132" s="20">
        <f>IFERROR(__xludf.DUMMYFUNCTION("""COMPUTED_VALUE"""),45054.0)</f>
        <v>45054</v>
      </c>
      <c r="M132" s="19" t="str">
        <f>IFERROR(__xludf.DUMMYFUNCTION("""COMPUTED_VALUE"""),"PP")</f>
        <v>PP</v>
      </c>
      <c r="N132" s="19" t="str">
        <f>IFERROR(__xludf.DUMMYFUNCTION("""COMPUTED_VALUE"""),"PRIORIDAD 2 Q4 2023 DICIEMBRE")</f>
        <v>PRIORIDAD 2 Q4 2023 DICIEMBRE</v>
      </c>
    </row>
    <row r="133" ht="15.75" customHeight="1">
      <c r="A133" s="19" t="str">
        <f>IFERROR(__xludf.DUMMYFUNCTION("""COMPUTED_VALUE"""),"AB_9547")</f>
        <v>AB_9547</v>
      </c>
      <c r="B133" s="19" t="str">
        <f>IFERROR(__xludf.DUMMYFUNCTION("""COMPUTED_VALUE"""),"AB_9547_A")</f>
        <v>AB_9547_A</v>
      </c>
      <c r="C133" s="19" t="str">
        <f>IFERROR(__xludf.DUMMYFUNCTION("""COMPUTED_VALUE"""),"AT9547")</f>
        <v>AT9547</v>
      </c>
      <c r="D133" s="19" t="str">
        <f>IFERROR(__xludf.DUMMYFUNCTION("""COMPUTED_VALUE"""),"Ruta 5 Las Bombas")</f>
        <v>Ruta 5 Las Bombas</v>
      </c>
      <c r="E133" s="19" t="str">
        <f>IFERROR(__xludf.DUMMYFUNCTION("""COMPUTED_VALUE"""),"SITIO ASIGNADO")</f>
        <v>SITIO ASIGNADO</v>
      </c>
      <c r="F133" s="19"/>
      <c r="G133" s="19" t="str">
        <f>IFERROR(__xludf.DUMMYFUNCTION("""COMPUTED_VALUE"""),"CV48")</f>
        <v>CV48</v>
      </c>
      <c r="H133" s="19" t="str">
        <f>IFERROR(__xludf.DUMMYFUNCTION("""COMPUTED_VALUE"""),"MER")</f>
        <v>MER</v>
      </c>
      <c r="I133" s="19" t="str">
        <f>IFERROR(__xludf.DUMMYFUNCTION("""COMPUTED_VALUE"""),"Terminada")</f>
        <v>Terminada</v>
      </c>
      <c r="J133" s="20">
        <f>IFERROR(__xludf.DUMMYFUNCTION("""COMPUTED_VALUE"""),45051.0)</f>
        <v>45051</v>
      </c>
      <c r="K133" s="19" t="str">
        <f>IFERROR(__xludf.DUMMYFUNCTION("""COMPUTED_VALUE"""),"Por pintar ")</f>
        <v>Por pintar </v>
      </c>
      <c r="L133" s="20">
        <f>IFERROR(__xludf.DUMMYFUNCTION("""COMPUTED_VALUE"""),45054.0)</f>
        <v>45054</v>
      </c>
      <c r="M133" s="19" t="str">
        <f>IFERROR(__xludf.DUMMYFUNCTION("""COMPUTED_VALUE"""),"PP")</f>
        <v>PP</v>
      </c>
      <c r="N133" s="19" t="str">
        <f>IFERROR(__xludf.DUMMYFUNCTION("""COMPUTED_VALUE"""),"PRIORIDAD 2 Q4 2023 DICIEMBRE")</f>
        <v>PRIORIDAD 2 Q4 2023 DICIEMBRE</v>
      </c>
    </row>
    <row r="134" ht="15.75" customHeight="1">
      <c r="A134" s="19" t="str">
        <f>IFERROR(__xludf.DUMMYFUNCTION("""COMPUTED_VALUE"""),"AB_9548")</f>
        <v>AB_9548</v>
      </c>
      <c r="B134" s="19" t="str">
        <f>IFERROR(__xludf.DUMMYFUNCTION("""COMPUTED_VALUE"""),"AB_9548_A")</f>
        <v>AB_9548_A</v>
      </c>
      <c r="C134" s="19" t="str">
        <f>IFERROR(__xludf.DUMMYFUNCTION("""COMPUTED_VALUE"""),"AT9548")</f>
        <v>AT9548</v>
      </c>
      <c r="D134" s="19" t="str">
        <f>IFERROR(__xludf.DUMMYFUNCTION("""COMPUTED_VALUE"""),"Ruta 5 Quebrada Pan de Azucar")</f>
        <v>Ruta 5 Quebrada Pan de Azucar</v>
      </c>
      <c r="E134" s="19" t="str">
        <f>IFERROR(__xludf.DUMMYFUNCTION("""COMPUTED_VALUE"""),"SITIO RFI")</f>
        <v>SITIO RFI</v>
      </c>
      <c r="F134" s="20" t="str">
        <f>IFERROR(__xludf.DUMMYFUNCTION("""COMPUTED_VALUE"""),"RFI")</f>
        <v>RFI</v>
      </c>
      <c r="G134" s="19" t="str">
        <f>IFERROR(__xludf.DUMMYFUNCTION("""COMPUTED_VALUE"""),"CV48")</f>
        <v>CV48</v>
      </c>
      <c r="H134" s="19" t="str">
        <f>IFERROR(__xludf.DUMMYFUNCTION("""COMPUTED_VALUE"""),"ADM")</f>
        <v>ADM</v>
      </c>
      <c r="I134" s="19" t="str">
        <f>IFERROR(__xludf.DUMMYFUNCTION("""COMPUTED_VALUE"""),"Entregada")</f>
        <v>Entregada</v>
      </c>
      <c r="J134" s="20">
        <f>IFERROR(__xludf.DUMMYFUNCTION("""COMPUTED_VALUE"""),44736.0)</f>
        <v>44736</v>
      </c>
      <c r="K134" s="19" t="str">
        <f>IFERROR(__xludf.DUMMYFUNCTION("""COMPUTED_VALUE"""),"Entregada")</f>
        <v>Entregada</v>
      </c>
      <c r="L134" s="20">
        <f>IFERROR(__xludf.DUMMYFUNCTION("""COMPUTED_VALUE"""),44802.0)</f>
        <v>44802</v>
      </c>
      <c r="M134" s="19" t="str">
        <f>IFERROR(__xludf.DUMMYFUNCTION("""COMPUTED_VALUE"""),"PCM")</f>
        <v>PCM</v>
      </c>
      <c r="N134" s="19" t="str">
        <f>IFERROR(__xludf.DUMMYFUNCTION("""COMPUTED_VALUE"""),"PRIORIDAD 1 Q3 2023 OCTUBRE")</f>
        <v>PRIORIDAD 1 Q3 2023 OCTUBRE</v>
      </c>
    </row>
    <row r="135" ht="15.75" customHeight="1">
      <c r="A135" s="19" t="str">
        <f>IFERROR(__xludf.DUMMYFUNCTION("""COMPUTED_VALUE"""),"AB_9549")</f>
        <v>AB_9549</v>
      </c>
      <c r="B135" s="19" t="str">
        <f>IFERROR(__xludf.DUMMYFUNCTION("""COMPUTED_VALUE"""),"AB_9549_B")</f>
        <v>AB_9549_B</v>
      </c>
      <c r="C135" s="19" t="str">
        <f>IFERROR(__xludf.DUMMYFUNCTION("""COMPUTED_VALUE"""),"AT9549")</f>
        <v>AT9549</v>
      </c>
      <c r="D135" s="19" t="str">
        <f>IFERROR(__xludf.DUMMYFUNCTION("""COMPUTED_VALUE"""),"Ruta 5 Cruce C-110")</f>
        <v>Ruta 5 Cruce C-110</v>
      </c>
      <c r="E135" s="19" t="str">
        <f>IFERROR(__xludf.DUMMYFUNCTION("""COMPUTED_VALUE"""),"SITIO ASIGNADO")</f>
        <v>SITIO ASIGNADO</v>
      </c>
      <c r="F135" s="19"/>
      <c r="G135" s="19" t="str">
        <f>IFERROR(__xludf.DUMMYFUNCTION("""COMPUTED_VALUE"""),"AS48")</f>
        <v>AS48</v>
      </c>
      <c r="H135" s="19" t="str">
        <f>IFERROR(__xludf.DUMMYFUNCTION("""COMPUTED_VALUE"""),"JTI")</f>
        <v>JTI</v>
      </c>
      <c r="I135" s="19" t="str">
        <f>IFERROR(__xludf.DUMMYFUNCTION("""COMPUTED_VALUE"""),"Terminada")</f>
        <v>Terminada</v>
      </c>
      <c r="J135" s="20">
        <f>IFERROR(__xludf.DUMMYFUNCTION("""COMPUTED_VALUE"""),45000.0)</f>
        <v>45000</v>
      </c>
      <c r="K135" s="19" t="str">
        <f>IFERROR(__xludf.DUMMYFUNCTION("""COMPUTED_VALUE"""),"Terminada")</f>
        <v>Terminada</v>
      </c>
      <c r="L135" s="20">
        <f>IFERROR(__xludf.DUMMYFUNCTION("""COMPUTED_VALUE"""),45000.0)</f>
        <v>45000</v>
      </c>
      <c r="M135" s="19" t="str">
        <f>IFERROR(__xludf.DUMMYFUNCTION("""COMPUTED_VALUE"""),"PP")</f>
        <v>PP</v>
      </c>
      <c r="N135" s="19" t="str">
        <f>IFERROR(__xludf.DUMMYFUNCTION("""COMPUTED_VALUE"""),"PRIORIDAD 2 Q4 2023 DICIEMBRE")</f>
        <v>PRIORIDAD 2 Q4 2023 DICIEMBRE</v>
      </c>
    </row>
    <row r="136" ht="15.75" customHeight="1">
      <c r="A136" s="19" t="str">
        <f>IFERROR(__xludf.DUMMYFUNCTION("""COMPUTED_VALUE"""),"AB_9550")</f>
        <v>AB_9550</v>
      </c>
      <c r="B136" s="19" t="str">
        <f>IFERROR(__xludf.DUMMYFUNCTION("""COMPUTED_VALUE"""),"AB_9550_B")</f>
        <v>AB_9550_B</v>
      </c>
      <c r="C136" s="19" t="str">
        <f>IFERROR(__xludf.DUMMYFUNCTION("""COMPUTED_VALUE"""),"AT9550")</f>
        <v>AT9550</v>
      </c>
      <c r="D136" s="19" t="str">
        <f>IFERROR(__xludf.DUMMYFUNCTION("""COMPUTED_VALUE"""),"Ruta 5 Sierra Colorada")</f>
        <v>Ruta 5 Sierra Colorada</v>
      </c>
      <c r="E136" s="19" t="str">
        <f>IFERROR(__xludf.DUMMYFUNCTION("""COMPUTED_VALUE"""),"SITIO RFI")</f>
        <v>SITIO RFI</v>
      </c>
      <c r="F136" s="19" t="str">
        <f>IFERROR(__xludf.DUMMYFUNCTION("""COMPUTED_VALUE"""),"RFI")</f>
        <v>RFI</v>
      </c>
      <c r="G136" s="19" t="str">
        <f>IFERROR(__xludf.DUMMYFUNCTION("""COMPUTED_VALUE"""),"CV48")</f>
        <v>CV48</v>
      </c>
      <c r="H136" s="19" t="str">
        <f>IFERROR(__xludf.DUMMYFUNCTION("""COMPUTED_VALUE"""),"INCOSERV")</f>
        <v>INCOSERV</v>
      </c>
      <c r="I136" s="19" t="str">
        <f>IFERROR(__xludf.DUMMYFUNCTION("""COMPUTED_VALUE"""),"Terminada")</f>
        <v>Terminada</v>
      </c>
      <c r="J136" s="20">
        <f>IFERROR(__xludf.DUMMYFUNCTION("""COMPUTED_VALUE"""),45034.0)</f>
        <v>45034</v>
      </c>
      <c r="K136" s="19" t="str">
        <f>IFERROR(__xludf.DUMMYFUNCTION("""COMPUTED_VALUE"""),"Por pintar ")</f>
        <v>Por pintar </v>
      </c>
      <c r="L136" s="20">
        <f>IFERROR(__xludf.DUMMYFUNCTION("""COMPUTED_VALUE"""),45100.0)</f>
        <v>45100</v>
      </c>
      <c r="M136" s="19" t="str">
        <f>IFERROR(__xludf.DUMMYFUNCTION("""COMPUTED_VALUE"""),"PP")</f>
        <v>PP</v>
      </c>
      <c r="N136" s="19" t="str">
        <f>IFERROR(__xludf.DUMMYFUNCTION("""COMPUTED_VALUE"""),"PRIORIDAD 2 Q4 2023 DICIEMBRE")</f>
        <v>PRIORIDAD 2 Q4 2023 DICIEMBRE</v>
      </c>
    </row>
    <row r="137" ht="15.75" customHeight="1">
      <c r="A137" s="19" t="str">
        <f>IFERROR(__xludf.DUMMYFUNCTION("""COMPUTED_VALUE"""),"AB_9551")</f>
        <v>AB_9551</v>
      </c>
      <c r="B137" s="19" t="str">
        <f>IFERROR(__xludf.DUMMYFUNCTION("""COMPUTED_VALUE"""),"AB_9551_F")</f>
        <v>AB_9551_F</v>
      </c>
      <c r="C137" s="19" t="str">
        <f>IFERROR(__xludf.DUMMYFUNCTION("""COMPUTED_VALUE"""),"AT9551")</f>
        <v>AT9551</v>
      </c>
      <c r="D137" s="19" t="str">
        <f>IFERROR(__xludf.DUMMYFUNCTION("""COMPUTED_VALUE"""),"Ruta 5 Cruce C-203")</f>
        <v>Ruta 5 Cruce C-203</v>
      </c>
      <c r="E137" s="19" t="str">
        <f>IFERROR(__xludf.DUMMYFUNCTION("""COMPUTED_VALUE"""),"SITIO PENDIENTE")</f>
        <v>SITIO PENDIENTE</v>
      </c>
      <c r="F137" s="19"/>
      <c r="G137" s="19" t="str">
        <f>IFERROR(__xludf.DUMMYFUNCTION("""COMPUTED_VALUE"""),"CV60")</f>
        <v>CV60</v>
      </c>
      <c r="H137" s="19" t="str">
        <f>IFERROR(__xludf.DUMMYFUNCTION("""COMPUTED_VALUE"""),"DEPROMET")</f>
        <v>DEPROMET</v>
      </c>
      <c r="I137" s="19" t="str">
        <f>IFERROR(__xludf.DUMMYFUNCTION("""COMPUTED_VALUE"""),"Terminada")</f>
        <v>Terminada</v>
      </c>
      <c r="J137" s="20">
        <f>IFERROR(__xludf.DUMMYFUNCTION("""COMPUTED_VALUE"""),45001.0)</f>
        <v>45001</v>
      </c>
      <c r="K137" s="19" t="str">
        <f>IFERROR(__xludf.DUMMYFUNCTION("""COMPUTED_VALUE"""),"Por pintar ")</f>
        <v>Por pintar </v>
      </c>
      <c r="L137" s="20">
        <f>IFERROR(__xludf.DUMMYFUNCTION("""COMPUTED_VALUE"""),45044.0)</f>
        <v>45044</v>
      </c>
      <c r="M137" s="19" t="str">
        <f>IFERROR(__xludf.DUMMYFUNCTION("""COMPUTED_VALUE"""),"PP")</f>
        <v>PP</v>
      </c>
      <c r="N137" s="19" t="str">
        <f>IFERROR(__xludf.DUMMYFUNCTION("""COMPUTED_VALUE"""),"PRIORIDAD 2 Q4 2023 DICIEMBRE")</f>
        <v>PRIORIDAD 2 Q4 2023 DICIEMBRE</v>
      </c>
    </row>
    <row r="138" ht="15.75" customHeight="1">
      <c r="A138" s="19" t="str">
        <f>IFERROR(__xludf.DUMMYFUNCTION("""COMPUTED_VALUE"""),"AB_9552")</f>
        <v>AB_9552</v>
      </c>
      <c r="B138" s="19" t="str">
        <f>IFERROR(__xludf.DUMMYFUNCTION("""COMPUTED_VALUE"""),"AB_9552_A")</f>
        <v>AB_9552_A</v>
      </c>
      <c r="C138" s="19" t="str">
        <f>IFERROR(__xludf.DUMMYFUNCTION("""COMPUTED_VALUE"""),"AT9552")</f>
        <v>AT9552</v>
      </c>
      <c r="D138" s="19" t="str">
        <f>IFERROR(__xludf.DUMMYFUNCTION("""COMPUTED_VALUE"""),"Ruta 5 Cruce C-13")</f>
        <v>Ruta 5 Cruce C-13</v>
      </c>
      <c r="E138" s="19" t="str">
        <f>IFERROR(__xludf.DUMMYFUNCTION("""COMPUTED_VALUE"""),"SITIO RFI")</f>
        <v>SITIO RFI</v>
      </c>
      <c r="F138" s="19"/>
      <c r="G138" s="19" t="str">
        <f>IFERROR(__xludf.DUMMYFUNCTION("""COMPUTED_VALUE"""),"AS48")</f>
        <v>AS48</v>
      </c>
      <c r="H138" s="19" t="str">
        <f>IFERROR(__xludf.DUMMYFUNCTION("""COMPUTED_VALUE"""),"METALING")</f>
        <v>METALING</v>
      </c>
      <c r="I138" s="19" t="str">
        <f>IFERROR(__xludf.DUMMYFUNCTION("""COMPUTED_VALUE"""),"Terminada")</f>
        <v>Terminada</v>
      </c>
      <c r="J138" s="20">
        <f>IFERROR(__xludf.DUMMYFUNCTION("""COMPUTED_VALUE"""),44876.0)</f>
        <v>44876</v>
      </c>
      <c r="K138" s="19" t="str">
        <f>IFERROR(__xludf.DUMMYFUNCTION("""COMPUTED_VALUE"""),"Por pintar ")</f>
        <v>Por pintar </v>
      </c>
      <c r="L138" s="20">
        <f>IFERROR(__xludf.DUMMYFUNCTION("""COMPUTED_VALUE"""),44978.0)</f>
        <v>44978</v>
      </c>
      <c r="M138" s="19" t="str">
        <f>IFERROR(__xludf.DUMMYFUNCTION("""COMPUTED_VALUE"""),"PP")</f>
        <v>PP</v>
      </c>
      <c r="N138" s="19" t="str">
        <f>IFERROR(__xludf.DUMMYFUNCTION("""COMPUTED_VALUE"""),"PRIORIDAD 2 Q4 2023 DICIEMBRE")</f>
        <v>PRIORIDAD 2 Q4 2023 DICIEMBRE</v>
      </c>
    </row>
    <row r="139" ht="15.75" customHeight="1">
      <c r="A139" s="19" t="str">
        <f>IFERROR(__xludf.DUMMYFUNCTION("""COMPUTED_VALUE"""),"AB_9553")</f>
        <v>AB_9553</v>
      </c>
      <c r="B139" s="19" t="str">
        <f>IFERROR(__xludf.DUMMYFUNCTION("""COMPUTED_VALUE"""),"AB_9553_A")</f>
        <v>AB_9553_A</v>
      </c>
      <c r="C139" s="19" t="str">
        <f>IFERROR(__xludf.DUMMYFUNCTION("""COMPUTED_VALUE"""),"AT9553")</f>
        <v>AT9553</v>
      </c>
      <c r="D139" s="19" t="str">
        <f>IFERROR(__xludf.DUMMYFUNCTION("""COMPUTED_VALUE"""),"Repetidor El Salado")</f>
        <v>Repetidor El Salado</v>
      </c>
      <c r="E139" s="19" t="str">
        <f>IFERROR(__xludf.DUMMYFUNCTION("""COMPUTED_VALUE"""),"SITIO ASIGNADO")</f>
        <v>SITIO ASIGNADO</v>
      </c>
      <c r="F139" s="19"/>
      <c r="G139" s="19" t="str">
        <f>IFERROR(__xludf.DUMMYFUNCTION("""COMPUTED_VALUE"""),"CV60")</f>
        <v>CV60</v>
      </c>
      <c r="H139" s="19" t="str">
        <f>IFERROR(__xludf.DUMMYFUNCTION("""COMPUTED_VALUE"""),"DEPROMET")</f>
        <v>DEPROMET</v>
      </c>
      <c r="I139" s="19" t="str">
        <f>IFERROR(__xludf.DUMMYFUNCTION("""COMPUTED_VALUE"""),"Terminada")</f>
        <v>Terminada</v>
      </c>
      <c r="J139" s="20">
        <f>IFERROR(__xludf.DUMMYFUNCTION("""COMPUTED_VALUE"""),45001.0)</f>
        <v>45001</v>
      </c>
      <c r="K139" s="19" t="str">
        <f>IFERROR(__xludf.DUMMYFUNCTION("""COMPUTED_VALUE"""),"Terminada")</f>
        <v>Terminada</v>
      </c>
      <c r="L139" s="20">
        <f>IFERROR(__xludf.DUMMYFUNCTION("""COMPUTED_VALUE"""),45001.0)</f>
        <v>45001</v>
      </c>
      <c r="M139" s="19" t="str">
        <f>IFERROR(__xludf.DUMMYFUNCTION("""COMPUTED_VALUE"""),"PP")</f>
        <v>PP</v>
      </c>
      <c r="N139" s="19" t="str">
        <f>IFERROR(__xludf.DUMMYFUNCTION("""COMPUTED_VALUE"""),"PRIORIDAD 2 Q4 2023 DICIEMBRE")</f>
        <v>PRIORIDAD 2 Q4 2023 DICIEMBRE</v>
      </c>
    </row>
    <row r="140" ht="15.75" customHeight="1">
      <c r="A140" s="19" t="str">
        <f>IFERROR(__xludf.DUMMYFUNCTION("""COMPUTED_VALUE"""),"AB_9554")</f>
        <v>AB_9554</v>
      </c>
      <c r="B140" s="19" t="str">
        <f>IFERROR(__xludf.DUMMYFUNCTION("""COMPUTED_VALUE"""),"AB_9554_A")</f>
        <v>AB_9554_A</v>
      </c>
      <c r="C140" s="19" t="str">
        <f>IFERROR(__xludf.DUMMYFUNCTION("""COMPUTED_VALUE"""),"AT9554")</f>
        <v>AT9554</v>
      </c>
      <c r="D140" s="19" t="str">
        <f>IFERROR(__xludf.DUMMYFUNCTION("""COMPUTED_VALUE"""),"Ruta C-13 a LLanta")</f>
        <v>Ruta C-13 a LLanta</v>
      </c>
      <c r="E140" s="19" t="str">
        <f>IFERROR(__xludf.DUMMYFUNCTION("""COMPUTED_VALUE"""),"SITIO RFI")</f>
        <v>SITIO RFI</v>
      </c>
      <c r="F140" s="20" t="str">
        <f>IFERROR(__xludf.DUMMYFUNCTION("""COMPUTED_VALUE"""),"RFI")</f>
        <v>RFI</v>
      </c>
      <c r="G140" s="19" t="str">
        <f>IFERROR(__xludf.DUMMYFUNCTION("""COMPUTED_VALUE"""),"AS48")</f>
        <v>AS48</v>
      </c>
      <c r="H140" s="19" t="str">
        <f>IFERROR(__xludf.DUMMYFUNCTION("""COMPUTED_VALUE"""),"MER")</f>
        <v>MER</v>
      </c>
      <c r="I140" s="19" t="str">
        <f>IFERROR(__xludf.DUMMYFUNCTION("""COMPUTED_VALUE"""),"Entregada")</f>
        <v>Entregada</v>
      </c>
      <c r="J140" s="20">
        <f>IFERROR(__xludf.DUMMYFUNCTION("""COMPUTED_VALUE"""),44722.0)</f>
        <v>44722</v>
      </c>
      <c r="K140" s="19" t="str">
        <f>IFERROR(__xludf.DUMMYFUNCTION("""COMPUTED_VALUE"""),"Entregada")</f>
        <v>Entregada</v>
      </c>
      <c r="L140" s="20">
        <f>IFERROR(__xludf.DUMMYFUNCTION("""COMPUTED_VALUE"""),44770.0)</f>
        <v>44770</v>
      </c>
      <c r="M140" s="19" t="str">
        <f>IFERROR(__xludf.DUMMYFUNCTION("""COMPUTED_VALUE"""),"PCM")</f>
        <v>PCM</v>
      </c>
      <c r="N140" s="19" t="str">
        <f>IFERROR(__xludf.DUMMYFUNCTION("""COMPUTED_VALUE"""),"PRIORIDAD 1 Q3 2023 OCTUBRE")</f>
        <v>PRIORIDAD 1 Q3 2023 OCTUBRE</v>
      </c>
    </row>
    <row r="141" ht="15.75" customHeight="1">
      <c r="A141" s="19" t="str">
        <f>IFERROR(__xludf.DUMMYFUNCTION("""COMPUTED_VALUE"""),"AB_9555")</f>
        <v>AB_9555</v>
      </c>
      <c r="B141" s="19" t="str">
        <f>IFERROR(__xludf.DUMMYFUNCTION("""COMPUTED_VALUE"""),"AB_9555_B")</f>
        <v>AB_9555_B</v>
      </c>
      <c r="C141" s="19" t="str">
        <f>IFERROR(__xludf.DUMMYFUNCTION("""COMPUTED_VALUE"""),"AT9555")</f>
        <v>AT9555</v>
      </c>
      <c r="D141" s="19" t="str">
        <f>IFERROR(__xludf.DUMMYFUNCTION("""COMPUTED_VALUE"""),"Estacion Llanta")</f>
        <v>Estacion Llanta</v>
      </c>
      <c r="E141" s="19" t="str">
        <f>IFERROR(__xludf.DUMMYFUNCTION("""COMPUTED_VALUE"""),"SITIO EN CONSTRUCCION")</f>
        <v>SITIO EN CONSTRUCCION</v>
      </c>
      <c r="F141" s="19" t="str">
        <f>IFERROR(__xludf.DUMMYFUNCTION("""COMPUTED_VALUE"""),"ENFIERRADURA")</f>
        <v>ENFIERRADURA</v>
      </c>
      <c r="G141" s="19" t="str">
        <f>IFERROR(__xludf.DUMMYFUNCTION("""COMPUTED_VALUE"""),"AS48")</f>
        <v>AS48</v>
      </c>
      <c r="H141" s="19" t="str">
        <f>IFERROR(__xludf.DUMMYFUNCTION("""COMPUTED_VALUE"""),"METALING")</f>
        <v>METALING</v>
      </c>
      <c r="I141" s="19" t="str">
        <f>IFERROR(__xludf.DUMMYFUNCTION("""COMPUTED_VALUE"""),"Terminada")</f>
        <v>Terminada</v>
      </c>
      <c r="J141" s="20">
        <f>IFERROR(__xludf.DUMMYFUNCTION("""COMPUTED_VALUE"""),44883.0)</f>
        <v>44883</v>
      </c>
      <c r="K141" s="19" t="str">
        <f>IFERROR(__xludf.DUMMYFUNCTION("""COMPUTED_VALUE"""),"Por pintar ")</f>
        <v>Por pintar </v>
      </c>
      <c r="L141" s="20">
        <f>IFERROR(__xludf.DUMMYFUNCTION("""COMPUTED_VALUE"""),44978.0)</f>
        <v>44978</v>
      </c>
      <c r="M141" s="19" t="str">
        <f>IFERROR(__xludf.DUMMYFUNCTION("""COMPUTED_VALUE"""),"PP")</f>
        <v>PP</v>
      </c>
      <c r="N141" s="19" t="str">
        <f>IFERROR(__xludf.DUMMYFUNCTION("""COMPUTED_VALUE"""),"PRIORIDAD 2 Q4 2023 DICIEMBRE")</f>
        <v>PRIORIDAD 2 Q4 2023 DICIEMBRE</v>
      </c>
    </row>
    <row r="142" ht="15.75" customHeight="1">
      <c r="A142" s="19" t="str">
        <f>IFERROR(__xludf.DUMMYFUNCTION("""COMPUTED_VALUE"""),"AB_9556")</f>
        <v>AB_9556</v>
      </c>
      <c r="B142" s="19" t="str">
        <f>IFERROR(__xludf.DUMMYFUNCTION("""COMPUTED_VALUE"""),"AB_9556_A")</f>
        <v>AB_9556_A</v>
      </c>
      <c r="C142" s="19" t="str">
        <f>IFERROR(__xludf.DUMMYFUNCTION("""COMPUTED_VALUE"""),"AT9556")</f>
        <v>AT9556</v>
      </c>
      <c r="D142" s="19" t="str">
        <f>IFERROR(__xludf.DUMMYFUNCTION("""COMPUTED_VALUE"""),"Valle Rio Salado")</f>
        <v>Valle Rio Salado</v>
      </c>
      <c r="E142" s="19" t="str">
        <f>IFERROR(__xludf.DUMMYFUNCTION("""COMPUTED_VALUE"""),"SITIO RFI")</f>
        <v>SITIO RFI</v>
      </c>
      <c r="F142" s="19" t="str">
        <f>IFERROR(__xludf.DUMMYFUNCTION("""COMPUTED_VALUE"""),"RFI")</f>
        <v>RFI</v>
      </c>
      <c r="G142" s="19" t="str">
        <f>IFERROR(__xludf.DUMMYFUNCTION("""COMPUTED_VALUE"""),"AS48")</f>
        <v>AS48</v>
      </c>
      <c r="H142" s="19" t="str">
        <f>IFERROR(__xludf.DUMMYFUNCTION("""COMPUTED_VALUE"""),"METALING")</f>
        <v>METALING</v>
      </c>
      <c r="I142" s="19" t="str">
        <f>IFERROR(__xludf.DUMMYFUNCTION("""COMPUTED_VALUE"""),"Entregada")</f>
        <v>Entregada</v>
      </c>
      <c r="J142" s="20">
        <f>IFERROR(__xludf.DUMMYFUNCTION("""COMPUTED_VALUE"""),44883.0)</f>
        <v>44883</v>
      </c>
      <c r="K142" s="19" t="str">
        <f>IFERROR(__xludf.DUMMYFUNCTION("""COMPUTED_VALUE"""),"Entregada")</f>
        <v>Entregada</v>
      </c>
      <c r="L142" s="20">
        <f>IFERROR(__xludf.DUMMYFUNCTION("""COMPUTED_VALUE"""),44978.0)</f>
        <v>44978</v>
      </c>
      <c r="M142" s="19" t="str">
        <f>IFERROR(__xludf.DUMMYFUNCTION("""COMPUTED_VALUE"""),"PP")</f>
        <v>PP</v>
      </c>
      <c r="N142" s="19" t="str">
        <f>IFERROR(__xludf.DUMMYFUNCTION("""COMPUTED_VALUE"""),"PRIORIDAD 2 Q4 2023 DICIEMBRE")</f>
        <v>PRIORIDAD 2 Q4 2023 DICIEMBRE</v>
      </c>
    </row>
    <row r="143" ht="15.75" customHeight="1">
      <c r="A143" s="19" t="str">
        <f>IFERROR(__xludf.DUMMYFUNCTION("""COMPUTED_VALUE"""),"AB_9557")</f>
        <v>AB_9557</v>
      </c>
      <c r="B143" s="19" t="str">
        <f>IFERROR(__xludf.DUMMYFUNCTION("""COMPUTED_VALUE"""),"AB_9557_A")</f>
        <v>AB_9557_A</v>
      </c>
      <c r="C143" s="19" t="str">
        <f>IFERROR(__xludf.DUMMYFUNCTION("""COMPUTED_VALUE"""),"AT9557")</f>
        <v>AT9557</v>
      </c>
      <c r="D143" s="19" t="str">
        <f>IFERROR(__xludf.DUMMYFUNCTION("""COMPUTED_VALUE"""),"El Jardin Diego de Almagro")</f>
        <v>El Jardin Diego de Almagro</v>
      </c>
      <c r="E143" s="19" t="str">
        <f>IFERROR(__xludf.DUMMYFUNCTION("""COMPUTED_VALUE"""),"SITIO RFI")</f>
        <v>SITIO RFI</v>
      </c>
      <c r="F143" s="19" t="str">
        <f>IFERROR(__xludf.DUMMYFUNCTION("""COMPUTED_VALUE"""),"RFI")</f>
        <v>RFI</v>
      </c>
      <c r="G143" s="19" t="str">
        <f>IFERROR(__xludf.DUMMYFUNCTION("""COMPUTED_VALUE"""),"AS48")</f>
        <v>AS48</v>
      </c>
      <c r="H143" s="19" t="str">
        <f>IFERROR(__xludf.DUMMYFUNCTION("""COMPUTED_VALUE"""),"ADM")</f>
        <v>ADM</v>
      </c>
      <c r="I143" s="19" t="str">
        <f>IFERROR(__xludf.DUMMYFUNCTION("""COMPUTED_VALUE"""),"Entregada")</f>
        <v>Entregada</v>
      </c>
      <c r="J143" s="20">
        <f>IFERROR(__xludf.DUMMYFUNCTION("""COMPUTED_VALUE"""),44750.0)</f>
        <v>44750</v>
      </c>
      <c r="K143" s="19" t="str">
        <f>IFERROR(__xludf.DUMMYFUNCTION("""COMPUTED_VALUE"""),"Entregada")</f>
        <v>Entregada</v>
      </c>
      <c r="L143" s="20">
        <f>IFERROR(__xludf.DUMMYFUNCTION("""COMPUTED_VALUE"""),44785.0)</f>
        <v>44785</v>
      </c>
      <c r="M143" s="19" t="str">
        <f>IFERROR(__xludf.DUMMYFUNCTION("""COMPUTED_VALUE"""),"LLOO")</f>
        <v>LLOO</v>
      </c>
      <c r="N143" s="19" t="str">
        <f>IFERROR(__xludf.DUMMYFUNCTION("""COMPUTED_VALUE"""),"PRIORIDAD 1 Q3 2023 OCTUBRE")</f>
        <v>PRIORIDAD 1 Q3 2023 OCTUBRE</v>
      </c>
    </row>
    <row r="144" ht="15.75" customHeight="1">
      <c r="A144" s="19" t="str">
        <f>IFERROR(__xludf.DUMMYFUNCTION("""COMPUTED_VALUE"""),"AB_9558")</f>
        <v>AB_9558</v>
      </c>
      <c r="B144" s="19" t="str">
        <f>IFERROR(__xludf.DUMMYFUNCTION("""COMPUTED_VALUE"""),"AB_9558_B")</f>
        <v>AB_9558_B</v>
      </c>
      <c r="C144" s="19" t="str">
        <f>IFERROR(__xludf.DUMMYFUNCTION("""COMPUTED_VALUE"""),"AT9558")</f>
        <v>AT9558</v>
      </c>
      <c r="D144" s="19" t="str">
        <f>IFERROR(__xludf.DUMMYFUNCTION("""COMPUTED_VALUE"""),"Ruta C-13 Santa Fe")</f>
        <v>Ruta C-13 Santa Fe</v>
      </c>
      <c r="E144" s="19" t="str">
        <f>IFERROR(__xludf.DUMMYFUNCTION("""COMPUTED_VALUE"""),"SITIO RFI")</f>
        <v>SITIO RFI</v>
      </c>
      <c r="F144" s="19" t="str">
        <f>IFERROR(__xludf.DUMMYFUNCTION("""COMPUTED_VALUE"""),"RFI")</f>
        <v>RFI</v>
      </c>
      <c r="G144" s="19" t="str">
        <f>IFERROR(__xludf.DUMMYFUNCTION("""COMPUTED_VALUE"""),"CV36")</f>
        <v>CV36</v>
      </c>
      <c r="H144" s="19" t="str">
        <f>IFERROR(__xludf.DUMMYFUNCTION("""COMPUTED_VALUE"""),"INCOSERV")</f>
        <v>INCOSERV</v>
      </c>
      <c r="I144" s="19" t="str">
        <f>IFERROR(__xludf.DUMMYFUNCTION("""COMPUTED_VALUE"""),"Entregada")</f>
        <v>Entregada</v>
      </c>
      <c r="J144" s="20">
        <f>IFERROR(__xludf.DUMMYFUNCTION("""COMPUTED_VALUE"""),45034.0)</f>
        <v>45034</v>
      </c>
      <c r="K144" s="19" t="str">
        <f>IFERROR(__xludf.DUMMYFUNCTION("""COMPUTED_VALUE"""),"Entregada")</f>
        <v>Entregada</v>
      </c>
      <c r="L144" s="20">
        <f>IFERROR(__xludf.DUMMYFUNCTION("""COMPUTED_VALUE"""),45066.0)</f>
        <v>45066</v>
      </c>
      <c r="M144" s="19" t="str">
        <f>IFERROR(__xludf.DUMMYFUNCTION("""COMPUTED_VALUE"""),"PP")</f>
        <v>PP</v>
      </c>
      <c r="N144" s="19" t="str">
        <f>IFERROR(__xludf.DUMMYFUNCTION("""COMPUTED_VALUE"""),"PRIORIDAD 2 Q4 2023 DICIEMBRE")</f>
        <v>PRIORIDAD 2 Q4 2023 DICIEMBRE</v>
      </c>
    </row>
    <row r="145" ht="15.75" customHeight="1">
      <c r="A145" s="19" t="str">
        <f>IFERROR(__xludf.DUMMYFUNCTION("""COMPUTED_VALUE"""),"AB_9559")</f>
        <v>AB_9559</v>
      </c>
      <c r="B145" s="19" t="str">
        <f>IFERROR(__xludf.DUMMYFUNCTION("""COMPUTED_VALUE"""),"AB_9559_B")</f>
        <v>AB_9559_B</v>
      </c>
      <c r="C145" s="19" t="str">
        <f>IFERROR(__xludf.DUMMYFUNCTION("""COMPUTED_VALUE"""),"AT9559")</f>
        <v>AT9559</v>
      </c>
      <c r="D145" s="19" t="str">
        <f>IFERROR(__xludf.DUMMYFUNCTION("""COMPUTED_VALUE"""),"Planta Solar Diego de Almagro")</f>
        <v>Planta Solar Diego de Almagro</v>
      </c>
      <c r="E145" s="19" t="str">
        <f>IFERROR(__xludf.DUMMYFUNCTION("""COMPUTED_VALUE"""),"SITIO ASIGNADO")</f>
        <v>SITIO ASIGNADO</v>
      </c>
      <c r="F145" s="19"/>
      <c r="G145" s="19" t="str">
        <f>IFERROR(__xludf.DUMMYFUNCTION("""COMPUTED_VALUE"""),"AS36")</f>
        <v>AS36</v>
      </c>
      <c r="H145" s="19" t="str">
        <f>IFERROR(__xludf.DUMMYFUNCTION("""COMPUTED_VALUE"""),"JTI")</f>
        <v>JTI</v>
      </c>
      <c r="I145" s="19" t="str">
        <f>IFERROR(__xludf.DUMMYFUNCTION("""COMPUTED_VALUE"""),"Terminada")</f>
        <v>Terminada</v>
      </c>
      <c r="J145" s="20">
        <f>IFERROR(__xludf.DUMMYFUNCTION("""COMPUTED_VALUE"""),45014.0)</f>
        <v>45014</v>
      </c>
      <c r="K145" s="19" t="str">
        <f>IFERROR(__xludf.DUMMYFUNCTION("""COMPUTED_VALUE"""),"Terminada")</f>
        <v>Terminada</v>
      </c>
      <c r="L145" s="20">
        <f>IFERROR(__xludf.DUMMYFUNCTION("""COMPUTED_VALUE"""),45014.0)</f>
        <v>45014</v>
      </c>
      <c r="M145" s="19" t="str">
        <f>IFERROR(__xludf.DUMMYFUNCTION("""COMPUTED_VALUE"""),"PP")</f>
        <v>PP</v>
      </c>
      <c r="N145" s="19" t="str">
        <f>IFERROR(__xludf.DUMMYFUNCTION("""COMPUTED_VALUE"""),"PRIORIDAD 2 Q4 2023 DICIEMBRE")</f>
        <v>PRIORIDAD 2 Q4 2023 DICIEMBRE</v>
      </c>
    </row>
    <row r="146" ht="15.75" customHeight="1">
      <c r="A146" s="19" t="str">
        <f>IFERROR(__xludf.DUMMYFUNCTION("""COMPUTED_VALUE"""),"AB_9560")</f>
        <v>AB_9560</v>
      </c>
      <c r="B146" s="19" t="str">
        <f>IFERROR(__xludf.DUMMYFUNCTION("""COMPUTED_VALUE"""),"AB_9560_A")</f>
        <v>AB_9560_A</v>
      </c>
      <c r="C146" s="19" t="str">
        <f>IFERROR(__xludf.DUMMYFUNCTION("""COMPUTED_VALUE"""),"AT9560")</f>
        <v>AT9560</v>
      </c>
      <c r="D146" s="19" t="str">
        <f>IFERROR(__xludf.DUMMYFUNCTION("""COMPUTED_VALUE"""),"Ruta C-13 Portal del Inca")</f>
        <v>Ruta C-13 Portal del Inca</v>
      </c>
      <c r="E146" s="19" t="str">
        <f>IFERROR(__xludf.DUMMYFUNCTION("""COMPUTED_VALUE"""),"SITIO ASIGNADO")</f>
        <v>SITIO ASIGNADO</v>
      </c>
      <c r="F146" s="19"/>
      <c r="G146" s="19" t="str">
        <f>IFERROR(__xludf.DUMMYFUNCTION("""COMPUTED_VALUE"""),"AS60")</f>
        <v>AS60</v>
      </c>
      <c r="H146" s="19" t="str">
        <f>IFERROR(__xludf.DUMMYFUNCTION("""COMPUTED_VALUE"""),"MER")</f>
        <v>MER</v>
      </c>
      <c r="I146" s="19" t="str">
        <f>IFERROR(__xludf.DUMMYFUNCTION("""COMPUTED_VALUE"""),"Terminada")</f>
        <v>Terminada</v>
      </c>
      <c r="J146" s="20">
        <f>IFERROR(__xludf.DUMMYFUNCTION("""COMPUTED_VALUE"""),44876.0)</f>
        <v>44876</v>
      </c>
      <c r="K146" s="19" t="str">
        <f>IFERROR(__xludf.DUMMYFUNCTION("""COMPUTED_VALUE"""),"Por pintar ")</f>
        <v>Por pintar </v>
      </c>
      <c r="L146" s="20">
        <f>IFERROR(__xludf.DUMMYFUNCTION("""COMPUTED_VALUE"""),44897.0)</f>
        <v>44897</v>
      </c>
      <c r="M146" s="19" t="str">
        <f>IFERROR(__xludf.DUMMYFUNCTION("""COMPUTED_VALUE"""),"PP")</f>
        <v>PP</v>
      </c>
      <c r="N146" s="19" t="str">
        <f>IFERROR(__xludf.DUMMYFUNCTION("""COMPUTED_VALUE"""),"PRIORIDAD 2 Q4 2023 DICIEMBRE")</f>
        <v>PRIORIDAD 2 Q4 2023 DICIEMBRE</v>
      </c>
    </row>
    <row r="147" ht="15.75" customHeight="1">
      <c r="A147" s="19" t="str">
        <f>IFERROR(__xludf.DUMMYFUNCTION("""COMPUTED_VALUE"""),"AB_9561")</f>
        <v>AB_9561</v>
      </c>
      <c r="B147" s="19" t="str">
        <f>IFERROR(__xludf.DUMMYFUNCTION("""COMPUTED_VALUE"""),"AB_9561_A")</f>
        <v>AB_9561_A</v>
      </c>
      <c r="C147" s="19" t="str">
        <f>IFERROR(__xludf.DUMMYFUNCTION("""COMPUTED_VALUE"""),"AT9561")</f>
        <v>AT9561</v>
      </c>
      <c r="D147" s="19" t="str">
        <f>IFERROR(__xludf.DUMMYFUNCTION("""COMPUTED_VALUE"""),"Ruta C-13 a Potrerillos")</f>
        <v>Ruta C-13 a Potrerillos</v>
      </c>
      <c r="E147" s="19" t="str">
        <f>IFERROR(__xludf.DUMMYFUNCTION("""COMPUTED_VALUE"""),"SITIO RFI")</f>
        <v>SITIO RFI</v>
      </c>
      <c r="F147" s="19" t="str">
        <f>IFERROR(__xludf.DUMMYFUNCTION("""COMPUTED_VALUE"""),"RFI")</f>
        <v>RFI</v>
      </c>
      <c r="G147" s="19" t="str">
        <f>IFERROR(__xludf.DUMMYFUNCTION("""COMPUTED_VALUE"""),"CV48")</f>
        <v>CV48</v>
      </c>
      <c r="H147" s="19" t="str">
        <f>IFERROR(__xludf.DUMMYFUNCTION("""COMPUTED_VALUE"""),"MER")</f>
        <v>MER</v>
      </c>
      <c r="I147" s="19" t="str">
        <f>IFERROR(__xludf.DUMMYFUNCTION("""COMPUTED_VALUE"""),"Entregada")</f>
        <v>Entregada</v>
      </c>
      <c r="J147" s="20">
        <f>IFERROR(__xludf.DUMMYFUNCTION("""COMPUTED_VALUE"""),45051.0)</f>
        <v>45051</v>
      </c>
      <c r="K147" s="19" t="str">
        <f>IFERROR(__xludf.DUMMYFUNCTION("""COMPUTED_VALUE"""),"Entregada")</f>
        <v>Entregada</v>
      </c>
      <c r="L147" s="20">
        <f>IFERROR(__xludf.DUMMYFUNCTION("""COMPUTED_VALUE"""),45054.0)</f>
        <v>45054</v>
      </c>
      <c r="M147" s="19" t="str">
        <f>IFERROR(__xludf.DUMMYFUNCTION("""COMPUTED_VALUE"""),"PP")</f>
        <v>PP</v>
      </c>
      <c r="N147" s="19" t="str">
        <f>IFERROR(__xludf.DUMMYFUNCTION("""COMPUTED_VALUE"""),"PRIORIDAD 2 Q4 2023 DICIEMBRE")</f>
        <v>PRIORIDAD 2 Q4 2023 DICIEMBRE</v>
      </c>
    </row>
    <row r="148" ht="15.75" customHeight="1">
      <c r="A148" s="19" t="str">
        <f>IFERROR(__xludf.DUMMYFUNCTION("""COMPUTED_VALUE"""),"AB_9562")</f>
        <v>AB_9562</v>
      </c>
      <c r="B148" s="19" t="str">
        <f>IFERROR(__xludf.DUMMYFUNCTION("""COMPUTED_VALUE"""),"AB_9562_A")</f>
        <v>AB_9562_A</v>
      </c>
      <c r="C148" s="19" t="str">
        <f>IFERROR(__xludf.DUMMYFUNCTION("""COMPUTED_VALUE"""),"AT9562")</f>
        <v>AT9562</v>
      </c>
      <c r="D148" s="19" t="str">
        <f>IFERROR(__xludf.DUMMYFUNCTION("""COMPUTED_VALUE"""),"El Salado Acceso Oriente")</f>
        <v>El Salado Acceso Oriente</v>
      </c>
      <c r="E148" s="19" t="str">
        <f>IFERROR(__xludf.DUMMYFUNCTION("""COMPUTED_VALUE"""),"DETENIDO FUERA DE PLAN")</f>
        <v>DETENIDO FUERA DE PLAN</v>
      </c>
      <c r="F148" s="19"/>
      <c r="G148" s="19" t="str">
        <f>IFERROR(__xludf.DUMMYFUNCTION("""COMPUTED_VALUE"""),"x")</f>
        <v>x</v>
      </c>
      <c r="H148" s="19" t="str">
        <f>IFERROR(__xludf.DUMMYFUNCTION("""COMPUTED_VALUE"""),"x")</f>
        <v>x</v>
      </c>
      <c r="I148" s="19" t="str">
        <f>IFERROR(__xludf.DUMMYFUNCTION("""COMPUTED_VALUE"""),"x")</f>
        <v>x</v>
      </c>
      <c r="J148" s="20" t="str">
        <f>IFERROR(__xludf.DUMMYFUNCTION("""COMPUTED_VALUE"""),"x")</f>
        <v>x</v>
      </c>
      <c r="K148" s="19" t="str">
        <f>IFERROR(__xludf.DUMMYFUNCTION("""COMPUTED_VALUE"""),"x")</f>
        <v>x</v>
      </c>
      <c r="L148" s="20" t="str">
        <f>IFERROR(__xludf.DUMMYFUNCTION("""COMPUTED_VALUE"""),"x")</f>
        <v>x</v>
      </c>
      <c r="M148" s="19" t="str">
        <f>IFERROR(__xludf.DUMMYFUNCTION("""COMPUTED_VALUE"""),"PP")</f>
        <v>PP</v>
      </c>
      <c r="N148" s="19" t="str">
        <f>IFERROR(__xludf.DUMMYFUNCTION("""COMPUTED_VALUE"""),"PRIORIDAD 3 Q1 2024 MARZO")</f>
        <v>PRIORIDAD 3 Q1 2024 MARZO</v>
      </c>
    </row>
    <row r="149" ht="15.75" customHeight="1">
      <c r="A149" s="19" t="str">
        <f>IFERROR(__xludf.DUMMYFUNCTION("""COMPUTED_VALUE"""),"AB_9563")</f>
        <v>AB_9563</v>
      </c>
      <c r="B149" s="19" t="str">
        <f>IFERROR(__xludf.DUMMYFUNCTION("""COMPUTED_VALUE"""),"AB_9563_A")</f>
        <v>AB_9563_A</v>
      </c>
      <c r="C149" s="19" t="str">
        <f>IFERROR(__xludf.DUMMYFUNCTION("""COMPUTED_VALUE"""),"AT9563")</f>
        <v>AT9563</v>
      </c>
      <c r="D149" s="19" t="str">
        <f>IFERROR(__xludf.DUMMYFUNCTION("""COMPUTED_VALUE"""),"Llano San Pedro de Cachiyuyo")</f>
        <v>Llano San Pedro de Cachiyuyo</v>
      </c>
      <c r="E149" s="19" t="str">
        <f>IFERROR(__xludf.DUMMYFUNCTION("""COMPUTED_VALUE"""),"SITIO RFI")</f>
        <v>SITIO RFI</v>
      </c>
      <c r="F149" s="19" t="str">
        <f>IFERROR(__xludf.DUMMYFUNCTION("""COMPUTED_VALUE"""),"RFI")</f>
        <v>RFI</v>
      </c>
      <c r="G149" s="19" t="str">
        <f>IFERROR(__xludf.DUMMYFUNCTION("""COMPUTED_VALUE"""),"AS36")</f>
        <v>AS36</v>
      </c>
      <c r="H149" s="19" t="str">
        <f>IFERROR(__xludf.DUMMYFUNCTION("""COMPUTED_VALUE"""),"METALING")</f>
        <v>METALING</v>
      </c>
      <c r="I149" s="19" t="str">
        <f>IFERROR(__xludf.DUMMYFUNCTION("""COMPUTED_VALUE"""),"Entregada")</f>
        <v>Entregada</v>
      </c>
      <c r="J149" s="20">
        <f>IFERROR(__xludf.DUMMYFUNCTION("""COMPUTED_VALUE"""),44680.0)</f>
        <v>44680</v>
      </c>
      <c r="K149" s="19" t="str">
        <f>IFERROR(__xludf.DUMMYFUNCTION("""COMPUTED_VALUE"""),"Entregada")</f>
        <v>Entregada</v>
      </c>
      <c r="L149" s="20">
        <f>IFERROR(__xludf.DUMMYFUNCTION("""COMPUTED_VALUE"""),44722.0)</f>
        <v>44722</v>
      </c>
      <c r="M149" s="19" t="str">
        <f>IFERROR(__xludf.DUMMYFUNCTION("""COMPUTED_VALUE"""),"PP")</f>
        <v>PP</v>
      </c>
      <c r="N149" s="19" t="str">
        <f>IFERROR(__xludf.DUMMYFUNCTION("""COMPUTED_VALUE"""),"PRIORIDAD 1 Q3 2023 OCTUBRE")</f>
        <v>PRIORIDAD 1 Q3 2023 OCTUBRE</v>
      </c>
    </row>
    <row r="150" ht="15.75" customHeight="1">
      <c r="A150" s="19" t="str">
        <f>IFERROR(__xludf.DUMMYFUNCTION("""COMPUTED_VALUE"""),"AB_9564")</f>
        <v>AB_9564</v>
      </c>
      <c r="B150" s="19" t="str">
        <f>IFERROR(__xludf.DUMMYFUNCTION("""COMPUTED_VALUE"""),"AB_9564_A")</f>
        <v>AB_9564_A</v>
      </c>
      <c r="C150" s="19" t="str">
        <f>IFERROR(__xludf.DUMMYFUNCTION("""COMPUTED_VALUE"""),"AT9564")</f>
        <v>AT9564</v>
      </c>
      <c r="D150" s="19" t="str">
        <f>IFERROR(__xludf.DUMMYFUNCTION("""COMPUTED_VALUE"""),"Ruta C-17 Cerro Serrano")</f>
        <v>Ruta C-17 Cerro Serrano</v>
      </c>
      <c r="E150" s="19" t="str">
        <f>IFERROR(__xludf.DUMMYFUNCTION("""COMPUTED_VALUE"""),"DETENIDO FUERA DE PLAN")</f>
        <v>DETENIDO FUERA DE PLAN</v>
      </c>
      <c r="F150" s="19"/>
      <c r="G150" s="19" t="str">
        <f>IFERROR(__xludf.DUMMYFUNCTION("""COMPUTED_VALUE"""),"CV48")</f>
        <v>CV48</v>
      </c>
      <c r="H150" s="19" t="str">
        <f>IFERROR(__xludf.DUMMYFUNCTION("""COMPUTED_VALUE"""),"COMPRAS")</f>
        <v>COMPRAS</v>
      </c>
      <c r="I150" s="19"/>
      <c r="J150" s="19"/>
      <c r="K150" s="19"/>
      <c r="L150" s="19"/>
      <c r="M150" s="19" t="str">
        <f>IFERROR(__xludf.DUMMYFUNCTION("""COMPUTED_VALUE"""),"PP")</f>
        <v>PP</v>
      </c>
      <c r="N150" s="19" t="str">
        <f>IFERROR(__xludf.DUMMYFUNCTION("""COMPUTED_VALUE"""),"PRIORIDAD 3 Q1 2024 MARZO")</f>
        <v>PRIORIDAD 3 Q1 2024 MARZO</v>
      </c>
    </row>
    <row r="151" ht="15.75" customHeight="1">
      <c r="A151" s="19" t="str">
        <f>IFERROR(__xludf.DUMMYFUNCTION("""COMPUTED_VALUE"""),"AB_9565")</f>
        <v>AB_9565</v>
      </c>
      <c r="B151" s="19" t="str">
        <f>IFERROR(__xludf.DUMMYFUNCTION("""COMPUTED_VALUE"""),"AB_9565_A")</f>
        <v>AB_9565_A</v>
      </c>
      <c r="C151" s="19" t="str">
        <f>IFERROR(__xludf.DUMMYFUNCTION("""COMPUTED_VALUE"""),"AT9565")</f>
        <v>AT9565</v>
      </c>
      <c r="D151" s="19" t="str">
        <f>IFERROR(__xludf.DUMMYFUNCTION("""COMPUTED_VALUE"""),"Ruta C-17 Portezuelo Chimbero")</f>
        <v>Ruta C-17 Portezuelo Chimbero</v>
      </c>
      <c r="E151" s="19" t="str">
        <f>IFERROR(__xludf.DUMMYFUNCTION("""COMPUTED_VALUE"""),"SITIO ASIGNADO")</f>
        <v>SITIO ASIGNADO</v>
      </c>
      <c r="F151" s="19"/>
      <c r="G151" s="19" t="str">
        <f>IFERROR(__xludf.DUMMYFUNCTION("""COMPUTED_VALUE"""),"CV48")</f>
        <v>CV48</v>
      </c>
      <c r="H151" s="19" t="str">
        <f>IFERROR(__xludf.DUMMYFUNCTION("""COMPUTED_VALUE"""),"MER")</f>
        <v>MER</v>
      </c>
      <c r="I151" s="19" t="str">
        <f>IFERROR(__xludf.DUMMYFUNCTION("""COMPUTED_VALUE"""),"Terminada")</f>
        <v>Terminada</v>
      </c>
      <c r="J151" s="20">
        <f>IFERROR(__xludf.DUMMYFUNCTION("""COMPUTED_VALUE"""),45051.0)</f>
        <v>45051</v>
      </c>
      <c r="K151" s="19" t="str">
        <f>IFERROR(__xludf.DUMMYFUNCTION("""COMPUTED_VALUE"""),"Por pintar ")</f>
        <v>Por pintar </v>
      </c>
      <c r="L151" s="20">
        <f>IFERROR(__xludf.DUMMYFUNCTION("""COMPUTED_VALUE"""),45054.0)</f>
        <v>45054</v>
      </c>
      <c r="M151" s="19" t="str">
        <f>IFERROR(__xludf.DUMMYFUNCTION("""COMPUTED_VALUE"""),"PP")</f>
        <v>PP</v>
      </c>
      <c r="N151" s="19" t="str">
        <f>IFERROR(__xludf.DUMMYFUNCTION("""COMPUTED_VALUE"""),"PRIORIDAD 2 Q4 2023 DICIEMBRE")</f>
        <v>PRIORIDAD 2 Q4 2023 DICIEMBRE</v>
      </c>
    </row>
    <row r="152" ht="15.75" customHeight="1">
      <c r="A152" s="19" t="str">
        <f>IFERROR(__xludf.DUMMYFUNCTION("""COMPUTED_VALUE"""),"AB_9566")</f>
        <v>AB_9566</v>
      </c>
      <c r="B152" s="19" t="str">
        <f>IFERROR(__xludf.DUMMYFUNCTION("""COMPUTED_VALUE"""),"AB_9566_A")</f>
        <v>AB_9566_A</v>
      </c>
      <c r="C152" s="19" t="str">
        <f>IFERROR(__xludf.DUMMYFUNCTION("""COMPUTED_VALUE"""),"AT9566")</f>
        <v>AT9566</v>
      </c>
      <c r="D152" s="19" t="str">
        <f>IFERROR(__xludf.DUMMYFUNCTION("""COMPUTED_VALUE"""),"Ruta C-17 Mina Dulcinea")</f>
        <v>Ruta C-17 Mina Dulcinea</v>
      </c>
      <c r="E152" s="19" t="str">
        <f>IFERROR(__xludf.DUMMYFUNCTION("""COMPUTED_VALUE"""),"SITIO ASIGNADO")</f>
        <v>SITIO ASIGNADO</v>
      </c>
      <c r="F152" s="19"/>
      <c r="G152" s="19" t="str">
        <f>IFERROR(__xludf.DUMMYFUNCTION("""COMPUTED_VALUE"""),"CV60")</f>
        <v>CV60</v>
      </c>
      <c r="H152" s="19" t="str">
        <f>IFERROR(__xludf.DUMMYFUNCTION("""COMPUTED_VALUE"""),"DEPROMET")</f>
        <v>DEPROMET</v>
      </c>
      <c r="I152" s="19" t="str">
        <f>IFERROR(__xludf.DUMMYFUNCTION("""COMPUTED_VALUE"""),"Terminada")</f>
        <v>Terminada</v>
      </c>
      <c r="J152" s="20">
        <f>IFERROR(__xludf.DUMMYFUNCTION("""COMPUTED_VALUE"""),45001.0)</f>
        <v>45001</v>
      </c>
      <c r="K152" s="19" t="str">
        <f>IFERROR(__xludf.DUMMYFUNCTION("""COMPUTED_VALUE"""),"Por pintar ")</f>
        <v>Por pintar </v>
      </c>
      <c r="L152" s="20">
        <f>IFERROR(__xludf.DUMMYFUNCTION("""COMPUTED_VALUE"""),45037.0)</f>
        <v>45037</v>
      </c>
      <c r="M152" s="19" t="str">
        <f>IFERROR(__xludf.DUMMYFUNCTION("""COMPUTED_VALUE"""),"PP")</f>
        <v>PP</v>
      </c>
      <c r="N152" s="19" t="str">
        <f>IFERROR(__xludf.DUMMYFUNCTION("""COMPUTED_VALUE"""),"PRIORIDAD 2 Q4 2023 DICIEMBRE")</f>
        <v>PRIORIDAD 2 Q4 2023 DICIEMBRE</v>
      </c>
    </row>
    <row r="153" ht="15.75" customHeight="1">
      <c r="A153" s="19" t="str">
        <f>IFERROR(__xludf.DUMMYFUNCTION("""COMPUTED_VALUE"""),"AB_9567")</f>
        <v>AB_9567</v>
      </c>
      <c r="B153" s="19" t="str">
        <f>IFERROR(__xludf.DUMMYFUNCTION("""COMPUTED_VALUE"""),"AB_9567_A")</f>
        <v>AB_9567_A</v>
      </c>
      <c r="C153" s="19" t="str">
        <f>IFERROR(__xludf.DUMMYFUNCTION("""COMPUTED_VALUE"""),"AT9567")</f>
        <v>AT9567</v>
      </c>
      <c r="D153" s="19" t="str">
        <f>IFERROR(__xludf.DUMMYFUNCTION("""COMPUTED_VALUE"""),"Ruta C-17 Juan Godoy")</f>
        <v>Ruta C-17 Juan Godoy</v>
      </c>
      <c r="E153" s="19" t="str">
        <f>IFERROR(__xludf.DUMMYFUNCTION("""COMPUTED_VALUE"""),"SITIO EN CONSTRUCCION")</f>
        <v>SITIO EN CONSTRUCCION</v>
      </c>
      <c r="F153" s="19" t="str">
        <f>IFERROR(__xludf.DUMMYFUNCTION("""COMPUTED_VALUE"""),"MONTAJE")</f>
        <v>MONTAJE</v>
      </c>
      <c r="G153" s="19" t="str">
        <f>IFERROR(__xludf.DUMMYFUNCTION("""COMPUTED_VALUE"""),"AS48")</f>
        <v>AS48</v>
      </c>
      <c r="H153" s="19" t="str">
        <f>IFERROR(__xludf.DUMMYFUNCTION("""COMPUTED_VALUE"""),"METALING")</f>
        <v>METALING</v>
      </c>
      <c r="I153" s="19" t="str">
        <f>IFERROR(__xludf.DUMMYFUNCTION("""COMPUTED_VALUE"""),"Entregada")</f>
        <v>Entregada</v>
      </c>
      <c r="J153" s="20">
        <f>IFERROR(__xludf.DUMMYFUNCTION("""COMPUTED_VALUE"""),44883.0)</f>
        <v>44883</v>
      </c>
      <c r="K153" s="19" t="str">
        <f>IFERROR(__xludf.DUMMYFUNCTION("""COMPUTED_VALUE"""),"Entregada")</f>
        <v>Entregada</v>
      </c>
      <c r="L153" s="20">
        <f>IFERROR(__xludf.DUMMYFUNCTION("""COMPUTED_VALUE"""),44978.0)</f>
        <v>44978</v>
      </c>
      <c r="M153" s="19" t="str">
        <f>IFERROR(__xludf.DUMMYFUNCTION("""COMPUTED_VALUE"""),"PP")</f>
        <v>PP</v>
      </c>
      <c r="N153" s="19" t="str">
        <f>IFERROR(__xludf.DUMMYFUNCTION("""COMPUTED_VALUE"""),"PRIORIDAD 2 Q4 2023 DICIEMBRE")</f>
        <v>PRIORIDAD 2 Q4 2023 DICIEMBRE</v>
      </c>
    </row>
    <row r="154" ht="15.75" customHeight="1">
      <c r="A154" s="19" t="str">
        <f>IFERROR(__xludf.DUMMYFUNCTION("""COMPUTED_VALUE"""),"AB_9568")</f>
        <v>AB_9568</v>
      </c>
      <c r="B154" s="19" t="str">
        <f>IFERROR(__xludf.DUMMYFUNCTION("""COMPUTED_VALUE"""),"AB_9568_A")</f>
        <v>AB_9568_A</v>
      </c>
      <c r="C154" s="19" t="str">
        <f>IFERROR(__xludf.DUMMYFUNCTION("""COMPUTED_VALUE"""),"AT9568")</f>
        <v>AT9568</v>
      </c>
      <c r="D154" s="19" t="str">
        <f>IFERROR(__xludf.DUMMYFUNCTION("""COMPUTED_VALUE"""),"Ruta C-17 Estacion Chimbero")</f>
        <v>Ruta C-17 Estacion Chimbero</v>
      </c>
      <c r="E154" s="19" t="str">
        <f>IFERROR(__xludf.DUMMYFUNCTION("""COMPUTED_VALUE"""),"DETENIDO FUERA DE PLAN")</f>
        <v>DETENIDO FUERA DE PLAN</v>
      </c>
      <c r="F154" s="19"/>
      <c r="G154" s="19" t="str">
        <f>IFERROR(__xludf.DUMMYFUNCTION("""COMPUTED_VALUE"""),"x")</f>
        <v>x</v>
      </c>
      <c r="H154" s="19" t="str">
        <f>IFERROR(__xludf.DUMMYFUNCTION("""COMPUTED_VALUE"""),"x")</f>
        <v>x</v>
      </c>
      <c r="I154" s="19" t="str">
        <f>IFERROR(__xludf.DUMMYFUNCTION("""COMPUTED_VALUE"""),"x")</f>
        <v>x</v>
      </c>
      <c r="J154" s="20" t="str">
        <f>IFERROR(__xludf.DUMMYFUNCTION("""COMPUTED_VALUE"""),"x")</f>
        <v>x</v>
      </c>
      <c r="K154" s="19" t="str">
        <f>IFERROR(__xludf.DUMMYFUNCTION("""COMPUTED_VALUE"""),"x")</f>
        <v>x</v>
      </c>
      <c r="L154" s="20" t="str">
        <f>IFERROR(__xludf.DUMMYFUNCTION("""COMPUTED_VALUE"""),"x")</f>
        <v>x</v>
      </c>
      <c r="M154" s="19" t="str">
        <f>IFERROR(__xludf.DUMMYFUNCTION("""COMPUTED_VALUE"""),"PP")</f>
        <v>PP</v>
      </c>
      <c r="N154" s="19" t="str">
        <f>IFERROR(__xludf.DUMMYFUNCTION("""COMPUTED_VALUE"""),"PRIORIDAD 2 Q4 2023 DICIEMBRE")</f>
        <v>PRIORIDAD 2 Q4 2023 DICIEMBRE</v>
      </c>
    </row>
    <row r="155" ht="15.75" customHeight="1">
      <c r="A155" s="19" t="str">
        <f>IFERROR(__xludf.DUMMYFUNCTION("""COMPUTED_VALUE"""),"AB_9569")</f>
        <v>AB_9569</v>
      </c>
      <c r="B155" s="19" t="str">
        <f>IFERROR(__xludf.DUMMYFUNCTION("""COMPUTED_VALUE"""),"AB_9569_A")</f>
        <v>AB_9569_A</v>
      </c>
      <c r="C155" s="19" t="str">
        <f>IFERROR(__xludf.DUMMYFUNCTION("""COMPUTED_VALUE"""),"AT9569")</f>
        <v>AT9569</v>
      </c>
      <c r="D155" s="19" t="str">
        <f>IFERROR(__xludf.DUMMYFUNCTION("""COMPUTED_VALUE"""),"Ruta C-17 Mina Chulo")</f>
        <v>Ruta C-17 Mina Chulo</v>
      </c>
      <c r="E155" s="19" t="str">
        <f>IFERROR(__xludf.DUMMYFUNCTION("""COMPUTED_VALUE"""),"SITIO ASIGNADO")</f>
        <v>SITIO ASIGNADO</v>
      </c>
      <c r="F155" s="19"/>
      <c r="G155" s="19" t="str">
        <f>IFERROR(__xludf.DUMMYFUNCTION("""COMPUTED_VALUE"""),"CV48")</f>
        <v>CV48</v>
      </c>
      <c r="H155" s="19" t="str">
        <f>IFERROR(__xludf.DUMMYFUNCTION("""COMPUTED_VALUE"""),"MER")</f>
        <v>MER</v>
      </c>
      <c r="I155" s="19" t="str">
        <f>IFERROR(__xludf.DUMMYFUNCTION("""COMPUTED_VALUE"""),"Terminada")</f>
        <v>Terminada</v>
      </c>
      <c r="J155" s="20">
        <f>IFERROR(__xludf.DUMMYFUNCTION("""COMPUTED_VALUE"""),45051.0)</f>
        <v>45051</v>
      </c>
      <c r="K155" s="19" t="str">
        <f>IFERROR(__xludf.DUMMYFUNCTION("""COMPUTED_VALUE"""),"Por pintar ")</f>
        <v>Por pintar </v>
      </c>
      <c r="L155" s="20">
        <f>IFERROR(__xludf.DUMMYFUNCTION("""COMPUTED_VALUE"""),45054.0)</f>
        <v>45054</v>
      </c>
      <c r="M155" s="19" t="str">
        <f>IFERROR(__xludf.DUMMYFUNCTION("""COMPUTED_VALUE"""),"PP")</f>
        <v>PP</v>
      </c>
      <c r="N155" s="19" t="str">
        <f>IFERROR(__xludf.DUMMYFUNCTION("""COMPUTED_VALUE"""),"PRIORIDAD 2 Q4 2023 DICIEMBRE")</f>
        <v>PRIORIDAD 2 Q4 2023 DICIEMBRE</v>
      </c>
    </row>
    <row r="156" ht="15.75" customHeight="1">
      <c r="A156" s="19" t="str">
        <f>IFERROR(__xludf.DUMMYFUNCTION("""COMPUTED_VALUE"""),"AB_9570")</f>
        <v>AB_9570</v>
      </c>
      <c r="B156" s="19" t="str">
        <f>IFERROR(__xludf.DUMMYFUNCTION("""COMPUTED_VALUE"""),"AB_9570_B")</f>
        <v>AB_9570_B</v>
      </c>
      <c r="C156" s="19" t="str">
        <f>IFERROR(__xludf.DUMMYFUNCTION("""COMPUTED_VALUE"""),"AT9570")</f>
        <v>AT9570</v>
      </c>
      <c r="D156" s="19" t="str">
        <f>IFERROR(__xludf.DUMMYFUNCTION("""COMPUTED_VALUE"""),"Ruta 5 Punta Caleuche")</f>
        <v>Ruta 5 Punta Caleuche</v>
      </c>
      <c r="E156" s="19" t="str">
        <f>IFERROR(__xludf.DUMMYFUNCTION("""COMPUTED_VALUE"""),"DETENIDO COMPRA ESTRUCTURA")</f>
        <v>DETENIDO COMPRA ESTRUCTURA</v>
      </c>
      <c r="F156" s="19" t="str">
        <f>IFERROR(__xludf.DUMMYFUNCTION("""COMPUTED_VALUE"""),"VISITA")</f>
        <v>VISITA</v>
      </c>
      <c r="G156" s="19" t="str">
        <f>IFERROR(__xludf.DUMMYFUNCTION("""COMPUTED_VALUE"""),"AS24")</f>
        <v>AS24</v>
      </c>
      <c r="H156" s="19" t="str">
        <f>IFERROR(__xludf.DUMMYFUNCTION("""COMPUTED_VALUE"""),"COMPRAS")</f>
        <v>COMPRAS</v>
      </c>
      <c r="I156" s="19"/>
      <c r="J156" s="19"/>
      <c r="K156" s="19"/>
      <c r="L156" s="19"/>
      <c r="M156" s="19" t="str">
        <f>IFERROR(__xludf.DUMMYFUNCTION("""COMPUTED_VALUE"""),"PP")</f>
        <v>PP</v>
      </c>
      <c r="N156" s="19" t="str">
        <f>IFERROR(__xludf.DUMMYFUNCTION("""COMPUTED_VALUE"""),"PRIORIDAD 2 Q4 2023 DICIEMBRE")</f>
        <v>PRIORIDAD 2 Q4 2023 DICIEMBRE</v>
      </c>
    </row>
    <row r="157" ht="15.75" customHeight="1">
      <c r="A157" s="19" t="str">
        <f>IFERROR(__xludf.DUMMYFUNCTION("""COMPUTED_VALUE"""),"AB_9571")</f>
        <v>AB_9571</v>
      </c>
      <c r="B157" s="19" t="str">
        <f>IFERROR(__xludf.DUMMYFUNCTION("""COMPUTED_VALUE"""),"AB_9571_C")</f>
        <v>AB_9571_C</v>
      </c>
      <c r="C157" s="19" t="str">
        <f>IFERROR(__xludf.DUMMYFUNCTION("""COMPUTED_VALUE"""),"AT9571")</f>
        <v>AT9571</v>
      </c>
      <c r="D157" s="19" t="str">
        <f>IFERROR(__xludf.DUMMYFUNCTION("""COMPUTED_VALUE"""),"Ruta 5 Zoologico de Piedra")</f>
        <v>Ruta 5 Zoologico de Piedra</v>
      </c>
      <c r="E157" s="19" t="str">
        <f>IFERROR(__xludf.DUMMYFUNCTION("""COMPUTED_VALUE"""),"SITIO PENDIENTE")</f>
        <v>SITIO PENDIENTE</v>
      </c>
      <c r="F157" s="19"/>
      <c r="G157" s="19" t="str">
        <f>IFERROR(__xludf.DUMMYFUNCTION("""COMPUTED_VALUE"""),"CV60")</f>
        <v>CV60</v>
      </c>
      <c r="H157" s="19" t="str">
        <f>IFERROR(__xludf.DUMMYFUNCTION("""COMPUTED_VALUE"""),"AJ")</f>
        <v>AJ</v>
      </c>
      <c r="I157" s="19" t="str">
        <f>IFERROR(__xludf.DUMMYFUNCTION("""COMPUTED_VALUE"""),"Terminada")</f>
        <v>Terminada</v>
      </c>
      <c r="J157" s="20">
        <f>IFERROR(__xludf.DUMMYFUNCTION("""COMPUTED_VALUE"""),44732.0)</f>
        <v>44732</v>
      </c>
      <c r="K157" s="19" t="str">
        <f>IFERROR(__xludf.DUMMYFUNCTION("""COMPUTED_VALUE"""),"Por pintar ")</f>
        <v>Por pintar </v>
      </c>
      <c r="L157" s="20">
        <f>IFERROR(__xludf.DUMMYFUNCTION("""COMPUTED_VALUE"""),44853.0)</f>
        <v>44853</v>
      </c>
      <c r="M157" s="19" t="str">
        <f>IFERROR(__xludf.DUMMYFUNCTION("""COMPUTED_VALUE"""),"PP")</f>
        <v>PP</v>
      </c>
      <c r="N157" s="19" t="str">
        <f>IFERROR(__xludf.DUMMYFUNCTION("""COMPUTED_VALUE"""),"PRIORIDAD 2 Q4 2023 DICIEMBRE")</f>
        <v>PRIORIDAD 2 Q4 2023 DICIEMBRE</v>
      </c>
    </row>
    <row r="158" ht="15.75" customHeight="1">
      <c r="A158" s="19" t="str">
        <f>IFERROR(__xludf.DUMMYFUNCTION("""COMPUTED_VALUE"""),"AB_9572")</f>
        <v>AB_9572</v>
      </c>
      <c r="B158" s="19" t="str">
        <f>IFERROR(__xludf.DUMMYFUNCTION("""COMPUTED_VALUE"""),"AB_9572_A")</f>
        <v>AB_9572_A</v>
      </c>
      <c r="C158" s="19" t="str">
        <f>IFERROR(__xludf.DUMMYFUNCTION("""COMPUTED_VALUE"""),"AT9572")</f>
        <v>AT9572</v>
      </c>
      <c r="D158" s="19" t="str">
        <f>IFERROR(__xludf.DUMMYFUNCTION("""COMPUTED_VALUE"""),"Ruta 5 Cruce Bahia Inglesa")</f>
        <v>Ruta 5 Cruce Bahia Inglesa</v>
      </c>
      <c r="E158" s="19" t="str">
        <f>IFERROR(__xludf.DUMMYFUNCTION("""COMPUTED_VALUE"""),"SITIO RFI")</f>
        <v>SITIO RFI</v>
      </c>
      <c r="F158" s="19" t="str">
        <f>IFERROR(__xludf.DUMMYFUNCTION("""COMPUTED_VALUE"""),"RFI")</f>
        <v>RFI</v>
      </c>
      <c r="G158" s="19" t="str">
        <f>IFERROR(__xludf.DUMMYFUNCTION("""COMPUTED_VALUE"""),"CV36")</f>
        <v>CV36</v>
      </c>
      <c r="H158" s="19" t="str">
        <f>IFERROR(__xludf.DUMMYFUNCTION("""COMPUTED_VALUE"""),"INGENIUS")</f>
        <v>INGENIUS</v>
      </c>
      <c r="I158" s="19" t="str">
        <f>IFERROR(__xludf.DUMMYFUNCTION("""COMPUTED_VALUE"""),"Entregada")</f>
        <v>Entregada</v>
      </c>
      <c r="J158" s="20">
        <f>IFERROR(__xludf.DUMMYFUNCTION("""COMPUTED_VALUE"""),45041.0)</f>
        <v>45041</v>
      </c>
      <c r="K158" s="19" t="str">
        <f>IFERROR(__xludf.DUMMYFUNCTION("""COMPUTED_VALUE"""),"Entregada")</f>
        <v>Entregada</v>
      </c>
      <c r="L158" s="20">
        <f>IFERROR(__xludf.DUMMYFUNCTION("""COMPUTED_VALUE"""),45117.0)</f>
        <v>45117</v>
      </c>
      <c r="M158" s="19" t="str">
        <f>IFERROR(__xludf.DUMMYFUNCTION("""COMPUTED_VALUE"""),"PP")</f>
        <v>PP</v>
      </c>
      <c r="N158" s="19" t="str">
        <f>IFERROR(__xludf.DUMMYFUNCTION("""COMPUTED_VALUE"""),"PRIORIDAD 2 Q4 2023 DICIEMBRE")</f>
        <v>PRIORIDAD 2 Q4 2023 DICIEMBRE</v>
      </c>
    </row>
    <row r="159" ht="15.75" customHeight="1">
      <c r="A159" s="19" t="str">
        <f>IFERROR(__xludf.DUMMYFUNCTION("""COMPUTED_VALUE"""),"AB_9573")</f>
        <v>AB_9573</v>
      </c>
      <c r="B159" s="19" t="str">
        <f>IFERROR(__xludf.DUMMYFUNCTION("""COMPUTED_VALUE"""),"AB_9573_A")</f>
        <v>AB_9573_A</v>
      </c>
      <c r="C159" s="19" t="str">
        <f>IFERROR(__xludf.DUMMYFUNCTION("""COMPUTED_VALUE"""),"AT9573")</f>
        <v>AT9573</v>
      </c>
      <c r="D159" s="19" t="str">
        <f>IFERROR(__xludf.DUMMYFUNCTION("""COMPUTED_VALUE"""),"Ruta 5 Estacion Travesia")</f>
        <v>Ruta 5 Estacion Travesia</v>
      </c>
      <c r="E159" s="19" t="str">
        <f>IFERROR(__xludf.DUMMYFUNCTION("""COMPUTED_VALUE"""),"SITIO EN CONSTRUCCION")</f>
        <v>SITIO EN CONSTRUCCION</v>
      </c>
      <c r="F159" s="19" t="str">
        <f>IFERROR(__xludf.DUMMYFUNCTION("""COMPUTED_VALUE"""),"ENFIERRADURA")</f>
        <v>ENFIERRADURA</v>
      </c>
      <c r="G159" s="19" t="str">
        <f>IFERROR(__xludf.DUMMYFUNCTION("""COMPUTED_VALUE"""),"CV42")</f>
        <v>CV42</v>
      </c>
      <c r="H159" s="19" t="str">
        <f>IFERROR(__xludf.DUMMYFUNCTION("""COMPUTED_VALUE"""),"INGENIUS")</f>
        <v>INGENIUS</v>
      </c>
      <c r="I159" s="19" t="str">
        <f>IFERROR(__xludf.DUMMYFUNCTION("""COMPUTED_VALUE"""),"Terminada")</f>
        <v>Terminada</v>
      </c>
      <c r="J159" s="20">
        <f>IFERROR(__xludf.DUMMYFUNCTION("""COMPUTED_VALUE"""),45042.0)</f>
        <v>45042</v>
      </c>
      <c r="K159" s="19" t="str">
        <f>IFERROR(__xludf.DUMMYFUNCTION("""COMPUTED_VALUE"""),"En fabricacion")</f>
        <v>En fabricacion</v>
      </c>
      <c r="L159" s="20">
        <f>IFERROR(__xludf.DUMMYFUNCTION("""COMPUTED_VALUE"""),45114.0)</f>
        <v>45114</v>
      </c>
      <c r="M159" s="19" t="str">
        <f>IFERROR(__xludf.DUMMYFUNCTION("""COMPUTED_VALUE"""),"PP")</f>
        <v>PP</v>
      </c>
      <c r="N159" s="19" t="str">
        <f>IFERROR(__xludf.DUMMYFUNCTION("""COMPUTED_VALUE"""),"PRIORIDAD 2 Q4 2023 DICIEMBRE")</f>
        <v>PRIORIDAD 2 Q4 2023 DICIEMBRE</v>
      </c>
    </row>
    <row r="160" ht="15.75" customHeight="1">
      <c r="A160" s="19" t="str">
        <f>IFERROR(__xludf.DUMMYFUNCTION("""COMPUTED_VALUE"""),"AB_9574")</f>
        <v>AB_9574</v>
      </c>
      <c r="B160" s="19" t="str">
        <f>IFERROR(__xludf.DUMMYFUNCTION("""COMPUTED_VALUE"""),"AB_9574_A")</f>
        <v>AB_9574_A</v>
      </c>
      <c r="C160" s="19" t="str">
        <f>IFERROR(__xludf.DUMMYFUNCTION("""COMPUTED_VALUE"""),"AT9574")</f>
        <v>AT9574</v>
      </c>
      <c r="D160" s="19" t="str">
        <f>IFERROR(__xludf.DUMMYFUNCTION("""COMPUTED_VALUE"""),"Ruta 5 Desvio Chañarcillo")</f>
        <v>Ruta 5 Desvio Chañarcillo</v>
      </c>
      <c r="E160" s="19" t="str">
        <f>IFERROR(__xludf.DUMMYFUNCTION("""COMPUTED_VALUE"""),"SITIO EN CONSTRUCCION")</f>
        <v>SITIO EN CONSTRUCCION</v>
      </c>
      <c r="F160" s="19" t="str">
        <f>IFERROR(__xludf.DUMMYFUNCTION("""COMPUTED_VALUE"""),"VISITA")</f>
        <v>VISITA</v>
      </c>
      <c r="G160" s="19" t="str">
        <f>IFERROR(__xludf.DUMMYFUNCTION("""COMPUTED_VALUE"""),"CV60")</f>
        <v>CV60</v>
      </c>
      <c r="H160" s="19" t="str">
        <f>IFERROR(__xludf.DUMMYFUNCTION("""COMPUTED_VALUE"""),"DEPROMET")</f>
        <v>DEPROMET</v>
      </c>
      <c r="I160" s="19" t="str">
        <f>IFERROR(__xludf.DUMMYFUNCTION("""COMPUTED_VALUE"""),"Terminada")</f>
        <v>Terminada</v>
      </c>
      <c r="J160" s="20">
        <f>IFERROR(__xludf.DUMMYFUNCTION("""COMPUTED_VALUE"""),45001.0)</f>
        <v>45001</v>
      </c>
      <c r="K160" s="19" t="str">
        <f>IFERROR(__xludf.DUMMYFUNCTION("""COMPUTED_VALUE"""),"Por pintar ")</f>
        <v>Por pintar </v>
      </c>
      <c r="L160" s="20">
        <f>IFERROR(__xludf.DUMMYFUNCTION("""COMPUTED_VALUE"""),45044.0)</f>
        <v>45044</v>
      </c>
      <c r="M160" s="19" t="str">
        <f>IFERROR(__xludf.DUMMYFUNCTION("""COMPUTED_VALUE"""),"PP")</f>
        <v>PP</v>
      </c>
      <c r="N160" s="19" t="str">
        <f>IFERROR(__xludf.DUMMYFUNCTION("""COMPUTED_VALUE"""),"PRIORIDAD 1 Q3 2023 OCTUBRE")</f>
        <v>PRIORIDAD 1 Q3 2023 OCTUBRE</v>
      </c>
    </row>
    <row r="161" ht="15.75" customHeight="1">
      <c r="A161" s="19" t="str">
        <f>IFERROR(__xludf.DUMMYFUNCTION("""COMPUTED_VALUE"""),"AB_9575")</f>
        <v>AB_9575</v>
      </c>
      <c r="B161" s="19" t="str">
        <f>IFERROR(__xludf.DUMMYFUNCTION("""COMPUTED_VALUE"""),"AB_9575_C")</f>
        <v>AB_9575_C</v>
      </c>
      <c r="C161" s="19" t="str">
        <f>IFERROR(__xludf.DUMMYFUNCTION("""COMPUTED_VALUE"""),"AT9575")</f>
        <v>AT9575</v>
      </c>
      <c r="D161" s="19" t="str">
        <f>IFERROR(__xludf.DUMMYFUNCTION("""COMPUTED_VALUE"""),"Puerto de Barquito")</f>
        <v>Puerto de Barquito</v>
      </c>
      <c r="E161" s="19" t="str">
        <f>IFERROR(__xludf.DUMMYFUNCTION("""COMPUTED_VALUE"""),"DETENIDO SAC")</f>
        <v>DETENIDO SAC</v>
      </c>
      <c r="F161" s="19"/>
      <c r="G161" s="19" t="str">
        <f>IFERROR(__xludf.DUMMYFUNCTION("""COMPUTED_VALUE"""),"CV24")</f>
        <v>CV24</v>
      </c>
      <c r="H161" s="19" t="str">
        <f>IFERROR(__xludf.DUMMYFUNCTION("""COMPUTED_VALUE"""),"INGENIUS")</f>
        <v>INGENIUS</v>
      </c>
      <c r="I161" s="19" t="str">
        <f>IFERROR(__xludf.DUMMYFUNCTION("""COMPUTED_VALUE"""),"Terminada")</f>
        <v>Terminada</v>
      </c>
      <c r="J161" s="20">
        <f>IFERROR(__xludf.DUMMYFUNCTION("""COMPUTED_VALUE"""),45041.0)</f>
        <v>45041</v>
      </c>
      <c r="K161" s="19" t="str">
        <f>IFERROR(__xludf.DUMMYFUNCTION("""COMPUTED_VALUE"""),"Por pintar ")</f>
        <v>Por pintar </v>
      </c>
      <c r="L161" s="20">
        <f>IFERROR(__xludf.DUMMYFUNCTION("""COMPUTED_VALUE"""),45062.0)</f>
        <v>45062</v>
      </c>
      <c r="M161" s="19" t="str">
        <f>IFERROR(__xludf.DUMMYFUNCTION("""COMPUTED_VALUE"""),"PP")</f>
        <v>PP</v>
      </c>
      <c r="N161" s="19" t="str">
        <f>IFERROR(__xludf.DUMMYFUNCTION("""COMPUTED_VALUE"""),"PRIORIDAD 2 Q4 2023 DICIEMBRE")</f>
        <v>PRIORIDAD 2 Q4 2023 DICIEMBRE</v>
      </c>
    </row>
    <row r="162" ht="15.75" customHeight="1">
      <c r="A162" s="19" t="str">
        <f>IFERROR(__xludf.DUMMYFUNCTION("""COMPUTED_VALUE"""),"AB_9576")</f>
        <v>AB_9576</v>
      </c>
      <c r="B162" s="19" t="str">
        <f>IFERROR(__xludf.DUMMYFUNCTION("""COMPUTED_VALUE"""),"AB_9576_C")</f>
        <v>AB_9576_C</v>
      </c>
      <c r="C162" s="19" t="str">
        <f>IFERROR(__xludf.DUMMYFUNCTION("""COMPUTED_VALUE"""),"AT9576")</f>
        <v>AT9576</v>
      </c>
      <c r="D162" s="19" t="str">
        <f>IFERROR(__xludf.DUMMYFUNCTION("""COMPUTED_VALUE"""),"Ruta 5 Portofino")</f>
        <v>Ruta 5 Portofino</v>
      </c>
      <c r="E162" s="19" t="str">
        <f>IFERROR(__xludf.DUMMYFUNCTION("""COMPUTED_VALUE"""),"SITIO EN CONSTRUCCION")</f>
        <v>SITIO EN CONSTRUCCION</v>
      </c>
      <c r="F162" s="19" t="str">
        <f>IFERROR(__xludf.DUMMYFUNCTION("""COMPUTED_VALUE"""),"VISITA")</f>
        <v>VISITA</v>
      </c>
      <c r="G162" s="19" t="str">
        <f>IFERROR(__xludf.DUMMYFUNCTION("""COMPUTED_VALUE"""),"CV30")</f>
        <v>CV30</v>
      </c>
      <c r="H162" s="19" t="str">
        <f>IFERROR(__xludf.DUMMYFUNCTION("""COMPUTED_VALUE"""),"INCOSERV")</f>
        <v>INCOSERV</v>
      </c>
      <c r="I162" s="19" t="str">
        <f>IFERROR(__xludf.DUMMYFUNCTION("""COMPUTED_VALUE"""),"Terminada")</f>
        <v>Terminada</v>
      </c>
      <c r="J162" s="20">
        <f>IFERROR(__xludf.DUMMYFUNCTION("""COMPUTED_VALUE"""),45034.0)</f>
        <v>45034</v>
      </c>
      <c r="K162" s="19" t="str">
        <f>IFERROR(__xludf.DUMMYFUNCTION("""COMPUTED_VALUE"""),"Por pintar ")</f>
        <v>Por pintar </v>
      </c>
      <c r="L162" s="20">
        <f>IFERROR(__xludf.DUMMYFUNCTION("""COMPUTED_VALUE"""),45066.0)</f>
        <v>45066</v>
      </c>
      <c r="M162" s="19" t="str">
        <f>IFERROR(__xludf.DUMMYFUNCTION("""COMPUTED_VALUE"""),"LLOO")</f>
        <v>LLOO</v>
      </c>
      <c r="N162" s="19" t="str">
        <f>IFERROR(__xludf.DUMMYFUNCTION("""COMPUTED_VALUE"""),"PRIORIDAD 2 Q4 2023 DICIEMBRE")</f>
        <v>PRIORIDAD 2 Q4 2023 DICIEMBRE</v>
      </c>
    </row>
    <row r="163" ht="15.75" customHeight="1">
      <c r="A163" s="19" t="str">
        <f>IFERROR(__xludf.DUMMYFUNCTION("""COMPUTED_VALUE"""),"AB_9577")</f>
        <v>AB_9577</v>
      </c>
      <c r="B163" s="19" t="str">
        <f>IFERROR(__xludf.DUMMYFUNCTION("""COMPUTED_VALUE"""),"AB_9577_D")</f>
        <v>AB_9577_D</v>
      </c>
      <c r="C163" s="19" t="str">
        <f>IFERROR(__xludf.DUMMYFUNCTION("""COMPUTED_VALUE"""),"AT9577")</f>
        <v>AT9577</v>
      </c>
      <c r="D163" s="19" t="str">
        <f>IFERROR(__xludf.DUMMYFUNCTION("""COMPUTED_VALUE"""),"Ruta 5 Hacienda Margarita")</f>
        <v>Ruta 5 Hacienda Margarita</v>
      </c>
      <c r="E163" s="19" t="str">
        <f>IFERROR(__xludf.DUMMYFUNCTION("""COMPUTED_VALUE"""),"SITIO RFI")</f>
        <v>SITIO RFI</v>
      </c>
      <c r="F163" s="19" t="str">
        <f>IFERROR(__xludf.DUMMYFUNCTION("""COMPUTED_VALUE"""),"MONTAJE")</f>
        <v>MONTAJE</v>
      </c>
      <c r="G163" s="19" t="str">
        <f>IFERROR(__xludf.DUMMYFUNCTION("""COMPUTED_VALUE"""),"MP36")</f>
        <v>MP36</v>
      </c>
      <c r="H163" s="19" t="str">
        <f>IFERROR(__xludf.DUMMYFUNCTION("""COMPUTED_VALUE"""),"MER")</f>
        <v>MER</v>
      </c>
      <c r="I163" s="19" t="str">
        <f>IFERROR(__xludf.DUMMYFUNCTION("""COMPUTED_VALUE"""),"Entregada")</f>
        <v>Entregada</v>
      </c>
      <c r="J163" s="20">
        <f>IFERROR(__xludf.DUMMYFUNCTION("""COMPUTED_VALUE"""),44862.0)</f>
        <v>44862</v>
      </c>
      <c r="K163" s="19" t="str">
        <f>IFERROR(__xludf.DUMMYFUNCTION("""COMPUTED_VALUE"""),"Entregada")</f>
        <v>Entregada</v>
      </c>
      <c r="L163" s="20">
        <f>IFERROR(__xludf.DUMMYFUNCTION("""COMPUTED_VALUE"""),44876.0)</f>
        <v>44876</v>
      </c>
      <c r="M163" s="19" t="str">
        <f>IFERROR(__xludf.DUMMYFUNCTION("""COMPUTED_VALUE"""),"PP")</f>
        <v>PP</v>
      </c>
      <c r="N163" s="19" t="str">
        <f>IFERROR(__xludf.DUMMYFUNCTION("""COMPUTED_VALUE"""),"PRIORIDAD 1 Q3 2023 OCTUBRE")</f>
        <v>PRIORIDAD 1 Q3 2023 OCTUBRE</v>
      </c>
    </row>
    <row r="164" ht="15.75" customHeight="1">
      <c r="A164" s="19" t="str">
        <f>IFERROR(__xludf.DUMMYFUNCTION("""COMPUTED_VALUE"""),"AB_9578")</f>
        <v>AB_9578</v>
      </c>
      <c r="B164" s="19" t="str">
        <f>IFERROR(__xludf.DUMMYFUNCTION("""COMPUTED_VALUE"""),"AB_9578_B")</f>
        <v>AB_9578_B</v>
      </c>
      <c r="C164" s="19" t="str">
        <f>IFERROR(__xludf.DUMMYFUNCTION("""COMPUTED_VALUE"""),"AT9578")</f>
        <v>AT9578</v>
      </c>
      <c r="D164" s="19" t="str">
        <f>IFERROR(__xludf.DUMMYFUNCTION("""COMPUTED_VALUE"""),"Ruta 5 Mina Desvio Norte")</f>
        <v>Ruta 5 Mina Desvio Norte</v>
      </c>
      <c r="E164" s="19" t="str">
        <f>IFERROR(__xludf.DUMMYFUNCTION("""COMPUTED_VALUE"""),"SITIO RFI")</f>
        <v>SITIO RFI</v>
      </c>
      <c r="F164" s="19" t="str">
        <f>IFERROR(__xludf.DUMMYFUNCTION("""COMPUTED_VALUE"""),"MONTAJE")</f>
        <v>MONTAJE</v>
      </c>
      <c r="G164" s="19" t="str">
        <f>IFERROR(__xludf.DUMMYFUNCTION("""COMPUTED_VALUE"""),"CV48")</f>
        <v>CV48</v>
      </c>
      <c r="H164" s="19" t="str">
        <f>IFERROR(__xludf.DUMMYFUNCTION("""COMPUTED_VALUE"""),"MER")</f>
        <v>MER</v>
      </c>
      <c r="I164" s="19" t="str">
        <f>IFERROR(__xludf.DUMMYFUNCTION("""COMPUTED_VALUE"""),"Entregada")</f>
        <v>Entregada</v>
      </c>
      <c r="J164" s="20">
        <f>IFERROR(__xludf.DUMMYFUNCTION("""COMPUTED_VALUE"""),45051.0)</f>
        <v>45051</v>
      </c>
      <c r="K164" s="19" t="str">
        <f>IFERROR(__xludf.DUMMYFUNCTION("""COMPUTED_VALUE"""),"Entregada")</f>
        <v>Entregada</v>
      </c>
      <c r="L164" s="20">
        <f>IFERROR(__xludf.DUMMYFUNCTION("""COMPUTED_VALUE"""),45054.0)</f>
        <v>45054</v>
      </c>
      <c r="M164" s="19" t="str">
        <f>IFERROR(__xludf.DUMMYFUNCTION("""COMPUTED_VALUE"""),"PP")</f>
        <v>PP</v>
      </c>
      <c r="N164" s="19" t="str">
        <f>IFERROR(__xludf.DUMMYFUNCTION("""COMPUTED_VALUE"""),"PRIORIDAD 1 Q3 2023 OCTUBRE")</f>
        <v>PRIORIDAD 1 Q3 2023 OCTUBRE</v>
      </c>
    </row>
    <row r="165" ht="15.75" customHeight="1">
      <c r="A165" s="19" t="str">
        <f>IFERROR(__xludf.DUMMYFUNCTION("""COMPUTED_VALUE"""),"AB_9579")</f>
        <v>AB_9579</v>
      </c>
      <c r="B165" s="19" t="str">
        <f>IFERROR(__xludf.DUMMYFUNCTION("""COMPUTED_VALUE"""),"AB_9579_A")</f>
        <v>AB_9579_A</v>
      </c>
      <c r="C165" s="19" t="str">
        <f>IFERROR(__xludf.DUMMYFUNCTION("""COMPUTED_VALUE"""),"AT9579")</f>
        <v>AT9579</v>
      </c>
      <c r="D165" s="19" t="str">
        <f>IFERROR(__xludf.DUMMYFUNCTION("""COMPUTED_VALUE"""),"Ruta 5 Los Bayos Chicos")</f>
        <v>Ruta 5 Los Bayos Chicos</v>
      </c>
      <c r="E165" s="19" t="str">
        <f>IFERROR(__xludf.DUMMYFUNCTION("""COMPUTED_VALUE"""),"DETENIDO FUERA DE PLAN")</f>
        <v>DETENIDO FUERA DE PLAN</v>
      </c>
      <c r="F165" s="19"/>
      <c r="G165" s="19" t="str">
        <f>IFERROR(__xludf.DUMMYFUNCTION("""COMPUTED_VALUE"""),"x")</f>
        <v>x</v>
      </c>
      <c r="H165" s="19" t="str">
        <f>IFERROR(__xludf.DUMMYFUNCTION("""COMPUTED_VALUE"""),"x")</f>
        <v>x</v>
      </c>
      <c r="I165" s="19" t="str">
        <f>IFERROR(__xludf.DUMMYFUNCTION("""COMPUTED_VALUE"""),"x")</f>
        <v>x</v>
      </c>
      <c r="J165" s="20" t="str">
        <f>IFERROR(__xludf.DUMMYFUNCTION("""COMPUTED_VALUE"""),"x")</f>
        <v>x</v>
      </c>
      <c r="K165" s="19" t="str">
        <f>IFERROR(__xludf.DUMMYFUNCTION("""COMPUTED_VALUE"""),"x")</f>
        <v>x</v>
      </c>
      <c r="L165" s="20" t="str">
        <f>IFERROR(__xludf.DUMMYFUNCTION("""COMPUTED_VALUE"""),"x")</f>
        <v>x</v>
      </c>
      <c r="M165" s="19" t="str">
        <f>IFERROR(__xludf.DUMMYFUNCTION("""COMPUTED_VALUE"""),"PP")</f>
        <v>PP</v>
      </c>
      <c r="N165" s="19" t="str">
        <f>IFERROR(__xludf.DUMMYFUNCTION("""COMPUTED_VALUE"""),"PRIORIDAD 3 Q1 2024 MARZO")</f>
        <v>PRIORIDAD 3 Q1 2024 MARZO</v>
      </c>
    </row>
    <row r="166" ht="15.75" customHeight="1">
      <c r="A166" s="19" t="str">
        <f>IFERROR(__xludf.DUMMYFUNCTION("""COMPUTED_VALUE"""),"AB_9580")</f>
        <v>AB_9580</v>
      </c>
      <c r="B166" s="19" t="str">
        <f>IFERROR(__xludf.DUMMYFUNCTION("""COMPUTED_VALUE"""),"AB_9580_A")</f>
        <v>AB_9580_A</v>
      </c>
      <c r="C166" s="19" t="str">
        <f>IFERROR(__xludf.DUMMYFUNCTION("""COMPUTED_VALUE"""),"AT9580")</f>
        <v>AT9580</v>
      </c>
      <c r="D166" s="19" t="str">
        <f>IFERROR(__xludf.DUMMYFUNCTION("""COMPUTED_VALUE"""),"Ruta 5 Sierra Atacama")</f>
        <v>Ruta 5 Sierra Atacama</v>
      </c>
      <c r="E166" s="19" t="str">
        <f>IFERROR(__xludf.DUMMYFUNCTION("""COMPUTED_VALUE"""),"DETENIDO SAC")</f>
        <v>DETENIDO SAC</v>
      </c>
      <c r="F166" s="19" t="str">
        <f>IFERROR(__xludf.DUMMYFUNCTION("""COMPUTED_VALUE"""),"VISITA")</f>
        <v>VISITA</v>
      </c>
      <c r="G166" s="19" t="str">
        <f>IFERROR(__xludf.DUMMYFUNCTION("""COMPUTED_VALUE"""),"CV36")</f>
        <v>CV36</v>
      </c>
      <c r="H166" s="19" t="str">
        <f>IFERROR(__xludf.DUMMYFUNCTION("""COMPUTED_VALUE"""),"INGENIUS")</f>
        <v>INGENIUS</v>
      </c>
      <c r="I166" s="19" t="str">
        <f>IFERROR(__xludf.DUMMYFUNCTION("""COMPUTED_VALUE"""),"Terminada")</f>
        <v>Terminada</v>
      </c>
      <c r="J166" s="20">
        <f>IFERROR(__xludf.DUMMYFUNCTION("""COMPUTED_VALUE"""),45041.0)</f>
        <v>45041</v>
      </c>
      <c r="K166" s="19" t="str">
        <f>IFERROR(__xludf.DUMMYFUNCTION("""COMPUTED_VALUE"""),"Por pintar ")</f>
        <v>Por pintar </v>
      </c>
      <c r="L166" s="20">
        <f>IFERROR(__xludf.DUMMYFUNCTION("""COMPUTED_VALUE"""),45110.0)</f>
        <v>45110</v>
      </c>
      <c r="M166" s="19" t="str">
        <f>IFERROR(__xludf.DUMMYFUNCTION("""COMPUTED_VALUE"""),"PP")</f>
        <v>PP</v>
      </c>
      <c r="N166" s="19" t="str">
        <f>IFERROR(__xludf.DUMMYFUNCTION("""COMPUTED_VALUE"""),"PRIORIDAD 2 Q4 2023 DICIEMBRE")</f>
        <v>PRIORIDAD 2 Q4 2023 DICIEMBRE</v>
      </c>
    </row>
    <row r="167" ht="15.75" customHeight="1">
      <c r="A167" s="19" t="str">
        <f>IFERROR(__xludf.DUMMYFUNCTION("""COMPUTED_VALUE"""),"AB_9581")</f>
        <v>AB_9581</v>
      </c>
      <c r="B167" s="19" t="str">
        <f>IFERROR(__xludf.DUMMYFUNCTION("""COMPUTED_VALUE"""),"AB_9581_A")</f>
        <v>AB_9581_A</v>
      </c>
      <c r="C167" s="19" t="str">
        <f>IFERROR(__xludf.DUMMYFUNCTION("""COMPUTED_VALUE"""),"AT9581")</f>
        <v>AT9581</v>
      </c>
      <c r="D167" s="19" t="str">
        <f>IFERROR(__xludf.DUMMYFUNCTION("""COMPUTED_VALUE"""),"Ruta 5 Tamarico - Algarrobal")</f>
        <v>Ruta 5 Tamarico - Algarrobal</v>
      </c>
      <c r="E167" s="19" t="str">
        <f>IFERROR(__xludf.DUMMYFUNCTION("""COMPUTED_VALUE"""),"DETENIDO FUERA DE PLAN")</f>
        <v>DETENIDO FUERA DE PLAN</v>
      </c>
      <c r="F167" s="19"/>
      <c r="G167" s="19" t="str">
        <f>IFERROR(__xludf.DUMMYFUNCTION("""COMPUTED_VALUE"""),"AS60")</f>
        <v>AS60</v>
      </c>
      <c r="H167" s="19" t="str">
        <f>IFERROR(__xludf.DUMMYFUNCTION("""COMPUTED_VALUE"""),"COMPRAS")</f>
        <v>COMPRAS</v>
      </c>
      <c r="I167" s="19"/>
      <c r="J167" s="19"/>
      <c r="K167" s="19"/>
      <c r="L167" s="19"/>
      <c r="M167" s="19" t="str">
        <f>IFERROR(__xludf.DUMMYFUNCTION("""COMPUTED_VALUE"""),"PP")</f>
        <v>PP</v>
      </c>
      <c r="N167" s="19" t="str">
        <f>IFERROR(__xludf.DUMMYFUNCTION("""COMPUTED_VALUE"""),"PRIORIDAD 3 Q1 2024 MARZO")</f>
        <v>PRIORIDAD 3 Q1 2024 MARZO</v>
      </c>
    </row>
    <row r="168" ht="15.75" customHeight="1">
      <c r="A168" s="19" t="str">
        <f>IFERROR(__xludf.DUMMYFUNCTION("""COMPUTED_VALUE"""),"AB_9582")</f>
        <v>AB_9582</v>
      </c>
      <c r="B168" s="19" t="str">
        <f>IFERROR(__xludf.DUMMYFUNCTION("""COMPUTED_VALUE"""),"AB_9582_C")</f>
        <v>AB_9582_C</v>
      </c>
      <c r="C168" s="19" t="str">
        <f>IFERROR(__xludf.DUMMYFUNCTION("""COMPUTED_VALUE"""),"AT9582")</f>
        <v>AT9582</v>
      </c>
      <c r="D168" s="19" t="str">
        <f>IFERROR(__xludf.DUMMYFUNCTION("""COMPUTED_VALUE"""),"Ruta 5 Cachiyuyo")</f>
        <v>Ruta 5 Cachiyuyo</v>
      </c>
      <c r="E168" s="19" t="str">
        <f>IFERROR(__xludf.DUMMYFUNCTION("""COMPUTED_VALUE"""),"DETENIDO COMPRA ESTRUCTURA")</f>
        <v>DETENIDO COMPRA ESTRUCTURA</v>
      </c>
      <c r="F168" s="19"/>
      <c r="G168" s="19" t="str">
        <f>IFERROR(__xludf.DUMMYFUNCTION("""COMPUTED_VALUE"""),"AS48")</f>
        <v>AS48</v>
      </c>
      <c r="H168" s="19" t="str">
        <f>IFERROR(__xludf.DUMMYFUNCTION("""COMPUTED_VALUE"""),"METALING")</f>
        <v>METALING</v>
      </c>
      <c r="I168" s="19" t="str">
        <f>IFERROR(__xludf.DUMMYFUNCTION("""COMPUTED_VALUE"""),"Terminada")</f>
        <v>Terminada</v>
      </c>
      <c r="J168" s="20">
        <f>IFERROR(__xludf.DUMMYFUNCTION("""COMPUTED_VALUE"""),44883.0)</f>
        <v>44883</v>
      </c>
      <c r="K168" s="19" t="str">
        <f>IFERROR(__xludf.DUMMYFUNCTION("""COMPUTED_VALUE"""),"Por pintar ")</f>
        <v>Por pintar </v>
      </c>
      <c r="L168" s="20">
        <f>IFERROR(__xludf.DUMMYFUNCTION("""COMPUTED_VALUE"""),44978.0)</f>
        <v>44978</v>
      </c>
      <c r="M168" s="19" t="str">
        <f>IFERROR(__xludf.DUMMYFUNCTION("""COMPUTED_VALUE"""),"PP")</f>
        <v>PP</v>
      </c>
      <c r="N168" s="19" t="str">
        <f>IFERROR(__xludf.DUMMYFUNCTION("""COMPUTED_VALUE"""),"PRIORIDAD 2 Q4 2023 DICIEMBRE")</f>
        <v>PRIORIDAD 2 Q4 2023 DICIEMBRE</v>
      </c>
    </row>
    <row r="169" ht="15.75" customHeight="1">
      <c r="A169" s="19" t="str">
        <f>IFERROR(__xludf.DUMMYFUNCTION("""COMPUTED_VALUE"""),"AB_9583")</f>
        <v>AB_9583</v>
      </c>
      <c r="B169" s="19" t="str">
        <f>IFERROR(__xludf.DUMMYFUNCTION("""COMPUTED_VALUE"""),"AB_9583_B")</f>
        <v>AB_9583_B</v>
      </c>
      <c r="C169" s="19" t="str">
        <f>IFERROR(__xludf.DUMMYFUNCTION("""COMPUTED_VALUE"""),"AT9583")</f>
        <v>AT9583</v>
      </c>
      <c r="D169" s="19" t="str">
        <f>IFERROR(__xludf.DUMMYFUNCTION("""COMPUTED_VALUE"""),"Ruta 5 Quebrada Agua Verde")</f>
        <v>Ruta 5 Quebrada Agua Verde</v>
      </c>
      <c r="E169" s="19" t="str">
        <f>IFERROR(__xludf.DUMMYFUNCTION("""COMPUTED_VALUE"""),"SITIO PENDIENTE")</f>
        <v>SITIO PENDIENTE</v>
      </c>
      <c r="F169" s="19"/>
      <c r="G169" s="19" t="str">
        <f>IFERROR(__xludf.DUMMYFUNCTION("""COMPUTED_VALUE"""),"CV60")</f>
        <v>CV60</v>
      </c>
      <c r="H169" s="19" t="str">
        <f>IFERROR(__xludf.DUMMYFUNCTION("""COMPUTED_VALUE"""),"")</f>
        <v/>
      </c>
      <c r="I169" s="19" t="str">
        <f>IFERROR(__xludf.DUMMYFUNCTION("""COMPUTED_VALUE"""),"")</f>
        <v/>
      </c>
      <c r="J169" s="20" t="str">
        <f>IFERROR(__xludf.DUMMYFUNCTION("""COMPUTED_VALUE"""),"")</f>
        <v/>
      </c>
      <c r="K169" s="19" t="str">
        <f>IFERROR(__xludf.DUMMYFUNCTION("""COMPUTED_VALUE"""),"")</f>
        <v/>
      </c>
      <c r="L169" s="20" t="str">
        <f>IFERROR(__xludf.DUMMYFUNCTION("""COMPUTED_VALUE"""),"")</f>
        <v/>
      </c>
      <c r="M169" s="19" t="str">
        <f>IFERROR(__xludf.DUMMYFUNCTION("""COMPUTED_VALUE"""),"PP")</f>
        <v>PP</v>
      </c>
      <c r="N169" s="19" t="str">
        <f>IFERROR(__xludf.DUMMYFUNCTION("""COMPUTED_VALUE"""),"PRIORIDAD 3 Q1 2024 MARZO")</f>
        <v>PRIORIDAD 3 Q1 2024 MARZO</v>
      </c>
    </row>
    <row r="170" ht="15.75" customHeight="1">
      <c r="A170" s="19" t="str">
        <f>IFERROR(__xludf.DUMMYFUNCTION("""COMPUTED_VALUE"""),"AB_9584")</f>
        <v>AB_9584</v>
      </c>
      <c r="B170" s="19" t="str">
        <f>IFERROR(__xludf.DUMMYFUNCTION("""COMPUTED_VALUE"""),"AB_9584_B")</f>
        <v>AB_9584_B</v>
      </c>
      <c r="C170" s="19" t="str">
        <f>IFERROR(__xludf.DUMMYFUNCTION("""COMPUTED_VALUE"""),"AT9584")</f>
        <v>AT9584</v>
      </c>
      <c r="D170" s="19" t="str">
        <f>IFERROR(__xludf.DUMMYFUNCTION("""COMPUTED_VALUE"""),"Ruta 5 Acceso Sur Vallenar")</f>
        <v>Ruta 5 Acceso Sur Vallenar</v>
      </c>
      <c r="E170" s="19" t="str">
        <f>IFERROR(__xludf.DUMMYFUNCTION("""COMPUTED_VALUE"""),"SITIO PENDIENTE")</f>
        <v>SITIO PENDIENTE</v>
      </c>
      <c r="F170" s="19"/>
      <c r="G170" s="19" t="str">
        <f>IFERROR(__xludf.DUMMYFUNCTION("""COMPUTED_VALUE"""),"x")</f>
        <v>x</v>
      </c>
      <c r="H170" s="19" t="str">
        <f>IFERROR(__xludf.DUMMYFUNCTION("""COMPUTED_VALUE"""),"x")</f>
        <v>x</v>
      </c>
      <c r="I170" s="19" t="str">
        <f>IFERROR(__xludf.DUMMYFUNCTION("""COMPUTED_VALUE"""),"x")</f>
        <v>x</v>
      </c>
      <c r="J170" s="20" t="str">
        <f>IFERROR(__xludf.DUMMYFUNCTION("""COMPUTED_VALUE"""),"x")</f>
        <v>x</v>
      </c>
      <c r="K170" s="19" t="str">
        <f>IFERROR(__xludf.DUMMYFUNCTION("""COMPUTED_VALUE"""),"x")</f>
        <v>x</v>
      </c>
      <c r="L170" s="20" t="str">
        <f>IFERROR(__xludf.DUMMYFUNCTION("""COMPUTED_VALUE"""),"x")</f>
        <v>x</v>
      </c>
      <c r="M170" s="19" t="str">
        <f>IFERROR(__xludf.DUMMYFUNCTION("""COMPUTED_VALUE"""),"PP")</f>
        <v>PP</v>
      </c>
      <c r="N170" s="19" t="str">
        <f>IFERROR(__xludf.DUMMYFUNCTION("""COMPUTED_VALUE"""),"PRIORIDAD 3 Q1 2024 MARZO")</f>
        <v>PRIORIDAD 3 Q1 2024 MARZO</v>
      </c>
    </row>
    <row r="171" ht="15.75" customHeight="1">
      <c r="A171" s="19" t="str">
        <f>IFERROR(__xludf.DUMMYFUNCTION("""COMPUTED_VALUE"""),"AB_9585")</f>
        <v>AB_9585</v>
      </c>
      <c r="B171" s="19" t="str">
        <f>IFERROR(__xludf.DUMMYFUNCTION("""COMPUTED_VALUE"""),"AB_9585_A")</f>
        <v>AB_9585_A</v>
      </c>
      <c r="C171" s="19" t="str">
        <f>IFERROR(__xludf.DUMMYFUNCTION("""COMPUTED_VALUE"""),"AT9585")</f>
        <v>AT9585</v>
      </c>
      <c r="D171" s="19" t="str">
        <f>IFERROR(__xludf.DUMMYFUNCTION("""COMPUTED_VALUE"""),"Ruta 5 Desvio Viscachitas")</f>
        <v>Ruta 5 Desvio Viscachitas</v>
      </c>
      <c r="E171" s="19" t="str">
        <f>IFERROR(__xludf.DUMMYFUNCTION("""COMPUTED_VALUE"""),"SITIO RFI")</f>
        <v>SITIO RFI</v>
      </c>
      <c r="F171" s="19" t="str">
        <f>IFERROR(__xludf.DUMMYFUNCTION("""COMPUTED_VALUE"""),"RFI")</f>
        <v>RFI</v>
      </c>
      <c r="G171" s="19" t="str">
        <f>IFERROR(__xludf.DUMMYFUNCTION("""COMPUTED_VALUE"""),"AS42")</f>
        <v>AS42</v>
      </c>
      <c r="H171" s="19" t="str">
        <f>IFERROR(__xludf.DUMMYFUNCTION("""COMPUTED_VALUE"""),"MER")</f>
        <v>MER</v>
      </c>
      <c r="I171" s="19" t="str">
        <f>IFERROR(__xludf.DUMMYFUNCTION("""COMPUTED_VALUE"""),"Entregada")</f>
        <v>Entregada</v>
      </c>
      <c r="J171" s="20">
        <f>IFERROR(__xludf.DUMMYFUNCTION("""COMPUTED_VALUE"""),44862.0)</f>
        <v>44862</v>
      </c>
      <c r="K171" s="19" t="str">
        <f>IFERROR(__xludf.DUMMYFUNCTION("""COMPUTED_VALUE"""),"Entregada")</f>
        <v>Entregada</v>
      </c>
      <c r="L171" s="20">
        <f>IFERROR(__xludf.DUMMYFUNCTION("""COMPUTED_VALUE"""),44890.0)</f>
        <v>44890</v>
      </c>
      <c r="M171" s="19" t="str">
        <f>IFERROR(__xludf.DUMMYFUNCTION("""COMPUTED_VALUE"""),"PP")</f>
        <v>PP</v>
      </c>
      <c r="N171" s="19" t="str">
        <f>IFERROR(__xludf.DUMMYFUNCTION("""COMPUTED_VALUE"""),"PRIORIDAD 1 Q3 2023 OCTUBRE")</f>
        <v>PRIORIDAD 1 Q3 2023 OCTUBRE</v>
      </c>
    </row>
    <row r="172" ht="15.75" customHeight="1">
      <c r="A172" s="19" t="str">
        <f>IFERROR(__xludf.DUMMYFUNCTION("""COMPUTED_VALUE"""),"AB_9586")</f>
        <v>AB_9586</v>
      </c>
      <c r="B172" s="19" t="str">
        <f>IFERROR(__xludf.DUMMYFUNCTION("""COMPUTED_VALUE"""),"AB_9586_B")</f>
        <v>AB_9586_B</v>
      </c>
      <c r="C172" s="19" t="str">
        <f>IFERROR(__xludf.DUMMYFUNCTION("""COMPUTED_VALUE"""),"AT9586")</f>
        <v>AT9586</v>
      </c>
      <c r="D172" s="19" t="str">
        <f>IFERROR(__xludf.DUMMYFUNCTION("""COMPUTED_VALUE"""),"Ruta 5 Quebrada Incahuasi")</f>
        <v>Ruta 5 Quebrada Incahuasi</v>
      </c>
      <c r="E172" s="19" t="str">
        <f>IFERROR(__xludf.DUMMYFUNCTION("""COMPUTED_VALUE"""),"SITIO PENDIENTE")</f>
        <v>SITIO PENDIENTE</v>
      </c>
      <c r="F172" s="19"/>
      <c r="G172" s="19" t="str">
        <f>IFERROR(__xludf.DUMMYFUNCTION("""COMPUTED_VALUE"""),"x")</f>
        <v>x</v>
      </c>
      <c r="H172" s="19" t="str">
        <f>IFERROR(__xludf.DUMMYFUNCTION("""COMPUTED_VALUE"""),"x")</f>
        <v>x</v>
      </c>
      <c r="I172" s="19" t="str">
        <f>IFERROR(__xludf.DUMMYFUNCTION("""COMPUTED_VALUE"""),"x")</f>
        <v>x</v>
      </c>
      <c r="J172" s="20" t="str">
        <f>IFERROR(__xludf.DUMMYFUNCTION("""COMPUTED_VALUE"""),"x")</f>
        <v>x</v>
      </c>
      <c r="K172" s="19" t="str">
        <f>IFERROR(__xludf.DUMMYFUNCTION("""COMPUTED_VALUE"""),"x")</f>
        <v>x</v>
      </c>
      <c r="L172" s="20" t="str">
        <f>IFERROR(__xludf.DUMMYFUNCTION("""COMPUTED_VALUE"""),"x")</f>
        <v>x</v>
      </c>
      <c r="M172" s="19" t="str">
        <f>IFERROR(__xludf.DUMMYFUNCTION("""COMPUTED_VALUE"""),"PP")</f>
        <v>PP</v>
      </c>
      <c r="N172" s="19" t="str">
        <f>IFERROR(__xludf.DUMMYFUNCTION("""COMPUTED_VALUE"""),"PRIORIDAD 3 Q1 2024 MARZO")</f>
        <v>PRIORIDAD 3 Q1 2024 MARZO</v>
      </c>
    </row>
    <row r="173" ht="15.75" customHeight="1">
      <c r="A173" s="19" t="str">
        <f>IFERROR(__xludf.DUMMYFUNCTION("""COMPUTED_VALUE"""),"AB_9587")</f>
        <v>AB_9587</v>
      </c>
      <c r="B173" s="19" t="str">
        <f>IFERROR(__xludf.DUMMYFUNCTION("""COMPUTED_VALUE"""),"AB_9587_B")</f>
        <v>AB_9587_B</v>
      </c>
      <c r="C173" s="19" t="str">
        <f>IFERROR(__xludf.DUMMYFUNCTION("""COMPUTED_VALUE"""),"AT9587")</f>
        <v>AT9587</v>
      </c>
      <c r="D173" s="19" t="str">
        <f>IFERROR(__xludf.DUMMYFUNCTION("""COMPUTED_VALUE"""),"Ruta 5 Punta Colorada")</f>
        <v>Ruta 5 Punta Colorada</v>
      </c>
      <c r="E173" s="19" t="str">
        <f>IFERROR(__xludf.DUMMYFUNCTION("""COMPUTED_VALUE"""),"SITIO EN CONSTRUCCION")</f>
        <v>SITIO EN CONSTRUCCION</v>
      </c>
      <c r="F173" s="19" t="str">
        <f>IFERROR(__xludf.DUMMYFUNCTION("""COMPUTED_VALUE"""),"VISITA")</f>
        <v>VISITA</v>
      </c>
      <c r="G173" s="19" t="str">
        <f>IFERROR(__xludf.DUMMYFUNCTION("""COMPUTED_VALUE"""),"CV36")</f>
        <v>CV36</v>
      </c>
      <c r="H173" s="19" t="str">
        <f>IFERROR(__xludf.DUMMYFUNCTION("""COMPUTED_VALUE"""),"INCOSERV")</f>
        <v>INCOSERV</v>
      </c>
      <c r="I173" s="19" t="str">
        <f>IFERROR(__xludf.DUMMYFUNCTION("""COMPUTED_VALUE"""),"Asignada")</f>
        <v>Asignada</v>
      </c>
      <c r="J173" s="20">
        <f>IFERROR(__xludf.DUMMYFUNCTION("""COMPUTED_VALUE"""),45163.0)</f>
        <v>45163</v>
      </c>
      <c r="K173" s="19" t="str">
        <f>IFERROR(__xludf.DUMMYFUNCTION("""COMPUTED_VALUE"""),"Asignada")</f>
        <v>Asignada</v>
      </c>
      <c r="L173" s="20">
        <f>IFERROR(__xludf.DUMMYFUNCTION("""COMPUTED_VALUE"""),45191.0)</f>
        <v>45191</v>
      </c>
      <c r="M173" s="19" t="str">
        <f>IFERROR(__xludf.DUMMYFUNCTION("""COMPUTED_VALUE"""),"PP")</f>
        <v>PP</v>
      </c>
      <c r="N173" s="19" t="str">
        <f>IFERROR(__xludf.DUMMYFUNCTION("""COMPUTED_VALUE"""),"PRIORIDAD 1 Q3 2023 OCTUBRE")</f>
        <v>PRIORIDAD 1 Q3 2023 OCTUBRE</v>
      </c>
    </row>
    <row r="174" ht="15.75" customHeight="1">
      <c r="A174" s="19" t="str">
        <f>IFERROR(__xludf.DUMMYFUNCTION("""COMPUTED_VALUE"""),"AB_9665")</f>
        <v>AB_9665</v>
      </c>
      <c r="B174" s="19" t="str">
        <f>IFERROR(__xludf.DUMMYFUNCTION("""COMPUTED_VALUE"""),"AB_9665_B")</f>
        <v>AB_9665_B</v>
      </c>
      <c r="C174" s="19" t="str">
        <f>IFERROR(__xludf.DUMMYFUNCTION("""COMPUTED_VALUE"""),"AT9665")</f>
        <v>AT9665</v>
      </c>
      <c r="D174" s="19" t="str">
        <f>IFERROR(__xludf.DUMMYFUNCTION("""COMPUTED_VALUE"""),"Ruta 5 Cruce C-442")</f>
        <v>Ruta 5 Cruce C-442</v>
      </c>
      <c r="E174" s="19" t="str">
        <f>IFERROR(__xludf.DUMMYFUNCTION("""COMPUTED_VALUE"""),"SITIO RFI")</f>
        <v>SITIO RFI</v>
      </c>
      <c r="F174" s="19" t="str">
        <f>IFERROR(__xludf.DUMMYFUNCTION("""COMPUTED_VALUE"""),"RFI")</f>
        <v>RFI</v>
      </c>
      <c r="G174" s="19" t="str">
        <f>IFERROR(__xludf.DUMMYFUNCTION("""COMPUTED_VALUE"""),"CV42")</f>
        <v>CV42</v>
      </c>
      <c r="H174" s="19" t="str">
        <f>IFERROR(__xludf.DUMMYFUNCTION("""COMPUTED_VALUE"""),"INCOSERV")</f>
        <v>INCOSERV</v>
      </c>
      <c r="I174" s="19" t="str">
        <f>IFERROR(__xludf.DUMMYFUNCTION("""COMPUTED_VALUE"""),"Entregada")</f>
        <v>Entregada</v>
      </c>
      <c r="J174" s="20">
        <f>IFERROR(__xludf.DUMMYFUNCTION("""COMPUTED_VALUE"""),45034.0)</f>
        <v>45034</v>
      </c>
      <c r="K174" s="19" t="str">
        <f>IFERROR(__xludf.DUMMYFUNCTION("""COMPUTED_VALUE"""),"Entregada")</f>
        <v>Entregada</v>
      </c>
      <c r="L174" s="20">
        <f>IFERROR(__xludf.DUMMYFUNCTION("""COMPUTED_VALUE"""),45100.0)</f>
        <v>45100</v>
      </c>
      <c r="M174" s="19" t="str">
        <f>IFERROR(__xludf.DUMMYFUNCTION("""COMPUTED_VALUE"""),"PP")</f>
        <v>PP</v>
      </c>
      <c r="N174" s="19" t="str">
        <f>IFERROR(__xludf.DUMMYFUNCTION("""COMPUTED_VALUE"""),"PRIORIDAD 1 Q3 2023 OCTUBRE")</f>
        <v>PRIORIDAD 1 Q3 2023 OCTUBRE</v>
      </c>
    </row>
    <row r="175" ht="15.75" customHeight="1">
      <c r="A175" s="19" t="str">
        <f>IFERROR(__xludf.DUMMYFUNCTION("""COMPUTED_VALUE"""),"AB_9708")</f>
        <v>AB_9708</v>
      </c>
      <c r="B175" s="19" t="str">
        <f>IFERROR(__xludf.DUMMYFUNCTION("""COMPUTED_VALUE"""),"AB_9708_B")</f>
        <v>AB_9708_B</v>
      </c>
      <c r="C175" s="19" t="str">
        <f>IFERROR(__xludf.DUMMYFUNCTION("""COMPUTED_VALUE"""),"AT9708")</f>
        <v>AT9708</v>
      </c>
      <c r="D175" s="19" t="str">
        <f>IFERROR(__xludf.DUMMYFUNCTION("""COMPUTED_VALUE"""),"Ruta 5 Portezuelo Aris")</f>
        <v>Ruta 5 Portezuelo Aris</v>
      </c>
      <c r="E175" s="19" t="str">
        <f>IFERROR(__xludf.DUMMYFUNCTION("""COMPUTED_VALUE"""),"SITIO ASIGNADO")</f>
        <v>SITIO ASIGNADO</v>
      </c>
      <c r="F175" s="19"/>
      <c r="G175" s="19" t="str">
        <f>IFERROR(__xludf.DUMMYFUNCTION("""COMPUTED_VALUE"""),"AS60")</f>
        <v>AS60</v>
      </c>
      <c r="H175" s="19" t="str">
        <f>IFERROR(__xludf.DUMMYFUNCTION("""COMPUTED_VALUE"""),"JTI")</f>
        <v>JTI</v>
      </c>
      <c r="I175" s="19" t="str">
        <f>IFERROR(__xludf.DUMMYFUNCTION("""COMPUTED_VALUE"""),"Terminada")</f>
        <v>Terminada</v>
      </c>
      <c r="J175" s="20">
        <f>IFERROR(__xludf.DUMMYFUNCTION("""COMPUTED_VALUE"""),44991.0)</f>
        <v>44991</v>
      </c>
      <c r="K175" s="19" t="str">
        <f>IFERROR(__xludf.DUMMYFUNCTION("""COMPUTED_VALUE"""),"Terminada")</f>
        <v>Terminada</v>
      </c>
      <c r="L175" s="20">
        <f>IFERROR(__xludf.DUMMYFUNCTION("""COMPUTED_VALUE"""),44991.0)</f>
        <v>44991</v>
      </c>
      <c r="M175" s="19" t="str">
        <f>IFERROR(__xludf.DUMMYFUNCTION("""COMPUTED_VALUE"""),"PP")</f>
        <v>PP</v>
      </c>
      <c r="N175" s="19" t="str">
        <f>IFERROR(__xludf.DUMMYFUNCTION("""COMPUTED_VALUE"""),"PRIORIDAD 2 Q4 2023 DICIEMBRE")</f>
        <v>PRIORIDAD 2 Q4 2023 DICIEMBRE</v>
      </c>
    </row>
    <row r="176" ht="15.75" customHeight="1">
      <c r="A176" s="19" t="str">
        <f>IFERROR(__xludf.DUMMYFUNCTION("""COMPUTED_VALUE"""),"AB_9710")</f>
        <v>AB_9710</v>
      </c>
      <c r="B176" s="19" t="str">
        <f>IFERROR(__xludf.DUMMYFUNCTION("""COMPUTED_VALUE"""),"AB_9710_A")</f>
        <v>AB_9710_A</v>
      </c>
      <c r="C176" s="19" t="str">
        <f>IFERROR(__xludf.DUMMYFUNCTION("""COMPUTED_VALUE"""),"AT9710")</f>
        <v>AT9710</v>
      </c>
      <c r="D176" s="19" t="str">
        <f>IFERROR(__xludf.DUMMYFUNCTION("""COMPUTED_VALUE"""),"Ruta 5 Cno Boton de Oro")</f>
        <v>Ruta 5 Cno Boton de Oro</v>
      </c>
      <c r="E176" s="19" t="str">
        <f>IFERROR(__xludf.DUMMYFUNCTION("""COMPUTED_VALUE"""),"SITIO EN CONSTRUCCION")</f>
        <v>SITIO EN CONSTRUCCION</v>
      </c>
      <c r="F176" s="19" t="str">
        <f>IFERROR(__xludf.DUMMYFUNCTION("""COMPUTED_VALUE"""),"HORMIGONADO")</f>
        <v>HORMIGONADO</v>
      </c>
      <c r="G176" s="19" t="str">
        <f>IFERROR(__xludf.DUMMYFUNCTION("""COMPUTED_VALUE"""),"CV42")</f>
        <v>CV42</v>
      </c>
      <c r="H176" s="19" t="str">
        <f>IFERROR(__xludf.DUMMYFUNCTION("""COMPUTED_VALUE"""),"INGENIUS")</f>
        <v>INGENIUS</v>
      </c>
      <c r="I176" s="19" t="str">
        <f>IFERROR(__xludf.DUMMYFUNCTION("""COMPUTED_VALUE"""),"Terminada")</f>
        <v>Terminada</v>
      </c>
      <c r="J176" s="20">
        <f>IFERROR(__xludf.DUMMYFUNCTION("""COMPUTED_VALUE"""),45042.0)</f>
        <v>45042</v>
      </c>
      <c r="K176" s="19" t="str">
        <f>IFERROR(__xludf.DUMMYFUNCTION("""COMPUTED_VALUE"""),"En fabricacion")</f>
        <v>En fabricacion</v>
      </c>
      <c r="L176" s="20">
        <f>IFERROR(__xludf.DUMMYFUNCTION("""COMPUTED_VALUE"""),45121.0)</f>
        <v>45121</v>
      </c>
      <c r="M176" s="19" t="str">
        <f>IFERROR(__xludf.DUMMYFUNCTION("""COMPUTED_VALUE"""),"PP")</f>
        <v>PP</v>
      </c>
      <c r="N176" s="19" t="str">
        <f>IFERROR(__xludf.DUMMYFUNCTION("""COMPUTED_VALUE"""),"PRIORIDAD 2 Q4 2023 DICIEMBRE")</f>
        <v>PRIORIDAD 2 Q4 2023 DICIEMBRE</v>
      </c>
    </row>
    <row r="177" ht="15.75" customHeight="1">
      <c r="A177" s="19" t="str">
        <f>IFERROR(__xludf.DUMMYFUNCTION("""COMPUTED_VALUE"""),"AB_10426")</f>
        <v>AB_10426</v>
      </c>
      <c r="B177" s="19" t="str">
        <f>IFERROR(__xludf.DUMMYFUNCTION("""COMPUTED_VALUE"""),"AB_10426_A")</f>
        <v>AB_10426_A</v>
      </c>
      <c r="C177" s="19" t="str">
        <f>IFERROR(__xludf.DUMMYFUNCTION("""COMPUTED_VALUE"""),"AR10426")</f>
        <v>AR10426</v>
      </c>
      <c r="D177" s="19" t="str">
        <f>IFERROR(__xludf.DUMMYFUNCTION("""COMPUTED_VALUE"""),"LLOO Playa del Obispo")</f>
        <v>LLOO Playa del Obispo</v>
      </c>
      <c r="E177" s="19" t="str">
        <f>IFERROR(__xludf.DUMMYFUNCTION("""COMPUTED_VALUE"""),"SITIO CONSTRUIDO")</f>
        <v>SITIO CONSTRUIDO</v>
      </c>
      <c r="F177" s="19" t="str">
        <f>IFERROR(__xludf.DUMMYFUNCTION("""COMPUTED_VALUE"""),"ENFIERRADURA")</f>
        <v>ENFIERRADURA</v>
      </c>
      <c r="G177" s="19" t="str">
        <f>IFERROR(__xludf.DUMMYFUNCTION("""COMPUTED_VALUE"""),"AS72")</f>
        <v>AS72</v>
      </c>
      <c r="H177" s="19" t="str">
        <f>IFERROR(__xludf.DUMMYFUNCTION("""COMPUTED_VALUE"""),"DEITEL")</f>
        <v>DEITEL</v>
      </c>
      <c r="I177" s="19" t="str">
        <f>IFERROR(__xludf.DUMMYFUNCTION("""COMPUTED_VALUE"""),"Terminada")</f>
        <v>Terminada</v>
      </c>
      <c r="J177" s="20">
        <f>IFERROR(__xludf.DUMMYFUNCTION("""COMPUTED_VALUE"""),44953.0)</f>
        <v>44953</v>
      </c>
      <c r="K177" s="19" t="str">
        <f>IFERROR(__xludf.DUMMYFUNCTION("""COMPUTED_VALUE"""),"Terminada")</f>
        <v>Terminada</v>
      </c>
      <c r="L177" s="20">
        <f>IFERROR(__xludf.DUMMYFUNCTION("""COMPUTED_VALUE"""),45033.0)</f>
        <v>45033</v>
      </c>
      <c r="M177" s="19" t="str">
        <f>IFERROR(__xludf.DUMMYFUNCTION("""COMPUTED_VALUE"""),"LLOO")</f>
        <v>LLOO</v>
      </c>
      <c r="N177" s="19" t="str">
        <f>IFERROR(__xludf.DUMMYFUNCTION("""COMPUTED_VALUE"""),"PRIORIDAD 1 Q3 2023 OCTUBRE")</f>
        <v>PRIORIDAD 1 Q3 2023 OCTUBRE</v>
      </c>
    </row>
    <row r="178" ht="15.75" customHeight="1">
      <c r="A178" s="19" t="str">
        <f>IFERROR(__xludf.DUMMYFUNCTION("""COMPUTED_VALUE"""),"AB_9747")</f>
        <v>AB_9747</v>
      </c>
      <c r="B178" s="19" t="str">
        <f>IFERROR(__xludf.DUMMYFUNCTION("""COMPUTED_VALUE"""),"AB_9747_A")</f>
        <v>AB_9747_A</v>
      </c>
      <c r="C178" s="19" t="str">
        <f>IFERROR(__xludf.DUMMYFUNCTION("""COMPUTED_VALUE"""),"AT9747")</f>
        <v>AT9747</v>
      </c>
      <c r="D178" s="19" t="str">
        <f>IFERROR(__xludf.DUMMYFUNCTION("""COMPUTED_VALUE"""),"Ruta 5 Estacion Monte Amargo")</f>
        <v>Ruta 5 Estacion Monte Amargo</v>
      </c>
      <c r="E178" s="19" t="str">
        <f>IFERROR(__xludf.DUMMYFUNCTION("""COMPUTED_VALUE"""),"SITIO RFC")</f>
        <v>SITIO RFC</v>
      </c>
      <c r="F178" s="19"/>
      <c r="G178" s="19" t="str">
        <f>IFERROR(__xludf.DUMMYFUNCTION("""COMPUTED_VALUE"""),"CV60")</f>
        <v>CV60</v>
      </c>
      <c r="H178" s="19" t="str">
        <f>IFERROR(__xludf.DUMMYFUNCTION("""COMPUTED_VALUE"""),"DEPROMET")</f>
        <v>DEPROMET</v>
      </c>
      <c r="I178" s="19" t="str">
        <f>IFERROR(__xludf.DUMMYFUNCTION("""COMPUTED_VALUE"""),"Terminada")</f>
        <v>Terminada</v>
      </c>
      <c r="J178" s="20">
        <f>IFERROR(__xludf.DUMMYFUNCTION("""COMPUTED_VALUE"""),44839.0)</f>
        <v>44839</v>
      </c>
      <c r="K178" s="19" t="str">
        <f>IFERROR(__xludf.DUMMYFUNCTION("""COMPUTED_VALUE"""),"Terminada")</f>
        <v>Terminada</v>
      </c>
      <c r="L178" s="20">
        <f>IFERROR(__xludf.DUMMYFUNCTION("""COMPUTED_VALUE"""),44881.0)</f>
        <v>44881</v>
      </c>
      <c r="M178" s="19" t="str">
        <f>IFERROR(__xludf.DUMMYFUNCTION("""COMPUTED_VALUE"""),"PP")</f>
        <v>PP</v>
      </c>
      <c r="N178" s="19" t="str">
        <f>IFERROR(__xludf.DUMMYFUNCTION("""COMPUTED_VALUE"""),"PRIORIDAD 2 Q4 2023 DICIEMBRE")</f>
        <v>PRIORIDAD 2 Q4 2023 DICIEMBRE</v>
      </c>
    </row>
    <row r="179" ht="15.75" customHeight="1">
      <c r="A179" s="19" t="str">
        <f>IFERROR(__xludf.DUMMYFUNCTION("""COMPUTED_VALUE"""),"AB_9788")</f>
        <v>AB_9788</v>
      </c>
      <c r="B179" s="19" t="str">
        <f>IFERROR(__xludf.DUMMYFUNCTION("""COMPUTED_VALUE"""),"AB_9788_A")</f>
        <v>AB_9788_A</v>
      </c>
      <c r="C179" s="19" t="str">
        <f>IFERROR(__xludf.DUMMYFUNCTION("""COMPUTED_VALUE"""),"AT9788")</f>
        <v>AT9788</v>
      </c>
      <c r="D179" s="19" t="str">
        <f>IFERROR(__xludf.DUMMYFUNCTION("""COMPUTED_VALUE"""),"Caleta Los Pozos Huasco")</f>
        <v>Caleta Los Pozos Huasco</v>
      </c>
      <c r="E179" s="19" t="str">
        <f>IFERROR(__xludf.DUMMYFUNCTION("""COMPUTED_VALUE"""),"SITIO PENDIENTE")</f>
        <v>SITIO PENDIENTE</v>
      </c>
      <c r="F179" s="19"/>
      <c r="G179" s="19" t="str">
        <f>IFERROR(__xludf.DUMMYFUNCTION("""COMPUTED_VALUE"""),"AS42")</f>
        <v>AS42</v>
      </c>
      <c r="H179" s="19" t="str">
        <f>IFERROR(__xludf.DUMMYFUNCTION("""COMPUTED_VALUE"""),"COMPRAS")</f>
        <v>COMPRAS</v>
      </c>
      <c r="I179" s="19"/>
      <c r="J179" s="20"/>
      <c r="K179" s="19"/>
      <c r="L179" s="20"/>
      <c r="M179" s="19" t="str">
        <f>IFERROR(__xludf.DUMMYFUNCTION("""COMPUTED_VALUE"""),"PCM")</f>
        <v>PCM</v>
      </c>
      <c r="N179" s="19" t="str">
        <f>IFERROR(__xludf.DUMMYFUNCTION("""COMPUTED_VALUE"""),"PRIORIDAD 3 Q1 2024 MARZO")</f>
        <v>PRIORIDAD 3 Q1 2024 MARZO</v>
      </c>
    </row>
    <row r="180" ht="15.75" customHeight="1">
      <c r="A180" s="19" t="str">
        <f>IFERROR(__xludf.DUMMYFUNCTION("""COMPUTED_VALUE"""),"AB_9796")</f>
        <v>AB_9796</v>
      </c>
      <c r="B180" s="19" t="str">
        <f>IFERROR(__xludf.DUMMYFUNCTION("""COMPUTED_VALUE"""),"AB_9796_C")</f>
        <v>AB_9796_C</v>
      </c>
      <c r="C180" s="19" t="str">
        <f>IFERROR(__xludf.DUMMYFUNCTION("""COMPUTED_VALUE"""),"AT9796")</f>
        <v>AT9796</v>
      </c>
      <c r="D180" s="19" t="str">
        <f>IFERROR(__xludf.DUMMYFUNCTION("""COMPUTED_VALUE"""),"Playa El Pulpo")</f>
        <v>Playa El Pulpo</v>
      </c>
      <c r="E180" s="19" t="str">
        <f>IFERROR(__xludf.DUMMYFUNCTION("""COMPUTED_VALUE"""),"SITIO RFI")</f>
        <v>SITIO RFI</v>
      </c>
      <c r="F180" s="19" t="str">
        <f>IFERROR(__xludf.DUMMYFUNCTION("""COMPUTED_VALUE"""),"RFI")</f>
        <v>RFI</v>
      </c>
      <c r="G180" s="19" t="str">
        <f>IFERROR(__xludf.DUMMYFUNCTION("""COMPUTED_VALUE"""),"MP30")</f>
        <v>MP30</v>
      </c>
      <c r="H180" s="19" t="str">
        <f>IFERROR(__xludf.DUMMYFUNCTION("""COMPUTED_VALUE"""),"MER")</f>
        <v>MER</v>
      </c>
      <c r="I180" s="19" t="str">
        <f>IFERROR(__xludf.DUMMYFUNCTION("""COMPUTED_VALUE"""),"Entregada")</f>
        <v>Entregada</v>
      </c>
      <c r="J180" s="20">
        <f>IFERROR(__xludf.DUMMYFUNCTION("""COMPUTED_VALUE"""),44729.0)</f>
        <v>44729</v>
      </c>
      <c r="K180" s="19" t="str">
        <f>IFERROR(__xludf.DUMMYFUNCTION("""COMPUTED_VALUE"""),"Entregada")</f>
        <v>Entregada</v>
      </c>
      <c r="L180" s="20">
        <f>IFERROR(__xludf.DUMMYFUNCTION("""COMPUTED_VALUE"""),44736.0)</f>
        <v>44736</v>
      </c>
      <c r="M180" s="19" t="str">
        <f>IFERROR(__xludf.DUMMYFUNCTION("""COMPUTED_VALUE"""),"LLOO")</f>
        <v>LLOO</v>
      </c>
      <c r="N180" s="19" t="str">
        <f>IFERROR(__xludf.DUMMYFUNCTION("""COMPUTED_VALUE"""),"PRIORIDAD 1 Q3 2023 OCTUBRE")</f>
        <v>PRIORIDAD 1 Q3 2023 OCTUBRE</v>
      </c>
    </row>
    <row r="181" ht="15.75" customHeight="1">
      <c r="A181" s="19" t="str">
        <f>IFERROR(__xludf.DUMMYFUNCTION("""COMPUTED_VALUE"""),"AB_10434")</f>
        <v>AB_10434</v>
      </c>
      <c r="B181" s="19" t="str">
        <f>IFERROR(__xludf.DUMMYFUNCTION("""COMPUTED_VALUE"""),"AB_10434_D")</f>
        <v>AB_10434_D</v>
      </c>
      <c r="C181" s="19" t="str">
        <f>IFERROR(__xludf.DUMMYFUNCTION("""COMPUTED_VALUE"""),"AR10434")</f>
        <v>AR10434</v>
      </c>
      <c r="D181" s="19" t="str">
        <f>IFERROR(__xludf.DUMMYFUNCTION("""COMPUTED_VALUE"""),"LLOO Villa Garcia")</f>
        <v>LLOO Villa Garcia</v>
      </c>
      <c r="E181" s="19" t="str">
        <f>IFERROR(__xludf.DUMMYFUNCTION("""COMPUTED_VALUE"""),"SITIO RFI")</f>
        <v>SITIO RFI</v>
      </c>
      <c r="F181" s="19" t="str">
        <f>IFERROR(__xludf.DUMMYFUNCTION("""COMPUTED_VALUE"""),"RFI")</f>
        <v>RFI</v>
      </c>
      <c r="G181" s="19" t="str">
        <f>IFERROR(__xludf.DUMMYFUNCTION("""COMPUTED_VALUE"""),"AS48")</f>
        <v>AS48</v>
      </c>
      <c r="H181" s="19" t="str">
        <f>IFERROR(__xludf.DUMMYFUNCTION("""COMPUTED_VALUE"""),"ADM")</f>
        <v>ADM</v>
      </c>
      <c r="I181" s="19" t="str">
        <f>IFERROR(__xludf.DUMMYFUNCTION("""COMPUTED_VALUE"""),"Entregada")</f>
        <v>Entregada</v>
      </c>
      <c r="J181" s="20">
        <f>IFERROR(__xludf.DUMMYFUNCTION("""COMPUTED_VALUE"""),44750.0)</f>
        <v>44750</v>
      </c>
      <c r="K181" s="19" t="str">
        <f>IFERROR(__xludf.DUMMYFUNCTION("""COMPUTED_VALUE"""),"Entregada")</f>
        <v>Entregada</v>
      </c>
      <c r="L181" s="20">
        <f>IFERROR(__xludf.DUMMYFUNCTION("""COMPUTED_VALUE"""),44890.0)</f>
        <v>44890</v>
      </c>
      <c r="M181" s="19" t="str">
        <f>IFERROR(__xludf.DUMMYFUNCTION("""COMPUTED_VALUE"""),"LLOO")</f>
        <v>LLOO</v>
      </c>
      <c r="N181" s="19" t="str">
        <f>IFERROR(__xludf.DUMMYFUNCTION("""COMPUTED_VALUE"""),"PRIORIDAD 1 Q3 2023 OCTUBRE")</f>
        <v>PRIORIDAD 1 Q3 2023 OCTUBRE</v>
      </c>
    </row>
    <row r="182" ht="15.75" customHeight="1">
      <c r="A182" s="19" t="str">
        <f>IFERROR(__xludf.DUMMYFUNCTION("""COMPUTED_VALUE"""),"AB_9807")</f>
        <v>AB_9807</v>
      </c>
      <c r="B182" s="19" t="str">
        <f>IFERROR(__xludf.DUMMYFUNCTION("""COMPUTED_VALUE"""),"AB_9807_A")</f>
        <v>AB_9807_A</v>
      </c>
      <c r="C182" s="19" t="str">
        <f>IFERROR(__xludf.DUMMYFUNCTION("""COMPUTED_VALUE"""),"AT9807")</f>
        <v>AT9807</v>
      </c>
      <c r="D182" s="19" t="str">
        <f>IFERROR(__xludf.DUMMYFUNCTION("""COMPUTED_VALUE"""),"Ruta 5 Cardones - Copiapo")</f>
        <v>Ruta 5 Cardones - Copiapo</v>
      </c>
      <c r="E182" s="19" t="str">
        <f>IFERROR(__xludf.DUMMYFUNCTION("""COMPUTED_VALUE"""),"SITIO EN CONSTRUCCION")</f>
        <v>SITIO EN CONSTRUCCION</v>
      </c>
      <c r="F182" s="19" t="str">
        <f>IFERROR(__xludf.DUMMYFUNCTION("""COMPUTED_VALUE"""),"VISITA")</f>
        <v>VISITA</v>
      </c>
      <c r="G182" s="19" t="str">
        <f>IFERROR(__xludf.DUMMYFUNCTION("""COMPUTED_VALUE"""),"CV48")</f>
        <v>CV48</v>
      </c>
      <c r="H182" s="19" t="str">
        <f>IFERROR(__xludf.DUMMYFUNCTION("""COMPUTED_VALUE"""),"MER")</f>
        <v>MER</v>
      </c>
      <c r="I182" s="19" t="str">
        <f>IFERROR(__xludf.DUMMYFUNCTION("""COMPUTED_VALUE"""),"Terminada")</f>
        <v>Terminada</v>
      </c>
      <c r="J182" s="20">
        <f>IFERROR(__xludf.DUMMYFUNCTION("""COMPUTED_VALUE"""),45051.0)</f>
        <v>45051</v>
      </c>
      <c r="K182" s="19" t="str">
        <f>IFERROR(__xludf.DUMMYFUNCTION("""COMPUTED_VALUE"""),"Por pintar ")</f>
        <v>Por pintar </v>
      </c>
      <c r="L182" s="20">
        <f>IFERROR(__xludf.DUMMYFUNCTION("""COMPUTED_VALUE"""),45054.0)</f>
        <v>45054</v>
      </c>
      <c r="M182" s="19" t="str">
        <f>IFERROR(__xludf.DUMMYFUNCTION("""COMPUTED_VALUE"""),"PP")</f>
        <v>PP</v>
      </c>
      <c r="N182" s="19" t="str">
        <f>IFERROR(__xludf.DUMMYFUNCTION("""COMPUTED_VALUE"""),"PRIORIDAD 2 Q4 2023 DICIEMBRE")</f>
        <v>PRIORIDAD 2 Q4 2023 DICIEMBRE</v>
      </c>
    </row>
    <row r="183" ht="15.75" customHeight="1">
      <c r="A183" s="19" t="str">
        <f>IFERROR(__xludf.DUMMYFUNCTION("""COMPUTED_VALUE"""),"AB_9812")</f>
        <v>AB_9812</v>
      </c>
      <c r="B183" s="19" t="str">
        <f>IFERROR(__xludf.DUMMYFUNCTION("""COMPUTED_VALUE"""),"AB_9812_E")</f>
        <v>AB_9812_E</v>
      </c>
      <c r="C183" s="19" t="str">
        <f>IFERROR(__xludf.DUMMYFUNCTION("""COMPUTED_VALUE"""),"AT9812")</f>
        <v>AT9812</v>
      </c>
      <c r="D183" s="19" t="str">
        <f>IFERROR(__xludf.DUMMYFUNCTION("""COMPUTED_VALUE"""),"Punta Negra")</f>
        <v>Punta Negra</v>
      </c>
      <c r="E183" s="19" t="str">
        <f>IFERROR(__xludf.DUMMYFUNCTION("""COMPUTED_VALUE"""),"SITIO RFI")</f>
        <v>SITIO RFI</v>
      </c>
      <c r="F183" s="19" t="str">
        <f>IFERROR(__xludf.DUMMYFUNCTION("""COMPUTED_VALUE"""),"RFI")</f>
        <v>RFI</v>
      </c>
      <c r="G183" s="19" t="str">
        <f>IFERROR(__xludf.DUMMYFUNCTION("""COMPUTED_VALUE"""),"AS42")</f>
        <v>AS42</v>
      </c>
      <c r="H183" s="19" t="str">
        <f>IFERROR(__xludf.DUMMYFUNCTION("""COMPUTED_VALUE"""),"MER")</f>
        <v>MER</v>
      </c>
      <c r="I183" s="19" t="str">
        <f>IFERROR(__xludf.DUMMYFUNCTION("""COMPUTED_VALUE"""),"Entregada")</f>
        <v>Entregada</v>
      </c>
      <c r="J183" s="20">
        <f>IFERROR(__xludf.DUMMYFUNCTION("""COMPUTED_VALUE"""),44862.0)</f>
        <v>44862</v>
      </c>
      <c r="K183" s="19" t="str">
        <f>IFERROR(__xludf.DUMMYFUNCTION("""COMPUTED_VALUE"""),"Entregada")</f>
        <v>Entregada</v>
      </c>
      <c r="L183" s="20">
        <f>IFERROR(__xludf.DUMMYFUNCTION("""COMPUTED_VALUE"""),44890.0)</f>
        <v>44890</v>
      </c>
      <c r="M183" s="19" t="str">
        <f>IFERROR(__xludf.DUMMYFUNCTION("""COMPUTED_VALUE"""),"LLOO")</f>
        <v>LLOO</v>
      </c>
      <c r="N183" s="19" t="str">
        <f>IFERROR(__xludf.DUMMYFUNCTION("""COMPUTED_VALUE"""),"PRIORIDAD 1 Q3 2023 OCTUBRE")</f>
        <v>PRIORIDAD 1 Q3 2023 OCTUBRE</v>
      </c>
    </row>
    <row r="184" ht="15.75" customHeight="1">
      <c r="A184" s="19" t="str">
        <f>IFERROR(__xludf.DUMMYFUNCTION("""COMPUTED_VALUE"""),"AB_9816")</f>
        <v>AB_9816</v>
      </c>
      <c r="B184" s="19" t="str">
        <f>IFERROR(__xludf.DUMMYFUNCTION("""COMPUTED_VALUE"""),"AB_9816_A")</f>
        <v>AB_9816_A</v>
      </c>
      <c r="C184" s="19" t="str">
        <f>IFERROR(__xludf.DUMMYFUNCTION("""COMPUTED_VALUE"""),"AT9816")</f>
        <v>AT9816</v>
      </c>
      <c r="D184" s="19" t="str">
        <f>IFERROR(__xludf.DUMMYFUNCTION("""COMPUTED_VALUE"""),"Quebradita Freirina")</f>
        <v>Quebradita Freirina</v>
      </c>
      <c r="E184" s="19" t="str">
        <f>IFERROR(__xludf.DUMMYFUNCTION("""COMPUTED_VALUE"""),"SITIO RFI")</f>
        <v>SITIO RFI</v>
      </c>
      <c r="F184" s="19" t="str">
        <f>IFERROR(__xludf.DUMMYFUNCTION("""COMPUTED_VALUE"""),"RFI")</f>
        <v>RFI</v>
      </c>
      <c r="G184" s="19" t="str">
        <f>IFERROR(__xludf.DUMMYFUNCTION("""COMPUTED_VALUE"""),"CV36")</f>
        <v>CV36</v>
      </c>
      <c r="H184" s="19" t="str">
        <f>IFERROR(__xludf.DUMMYFUNCTION("""COMPUTED_VALUE"""),"ADM")</f>
        <v>ADM</v>
      </c>
      <c r="I184" s="19" t="str">
        <f>IFERROR(__xludf.DUMMYFUNCTION("""COMPUTED_VALUE"""),"Entregada")</f>
        <v>Entregada</v>
      </c>
      <c r="J184" s="20">
        <f>IFERROR(__xludf.DUMMYFUNCTION("""COMPUTED_VALUE"""),44743.0)</f>
        <v>44743</v>
      </c>
      <c r="K184" s="19" t="str">
        <f>IFERROR(__xludf.DUMMYFUNCTION("""COMPUTED_VALUE"""),"Entregada")</f>
        <v>Entregada</v>
      </c>
      <c r="L184" s="20">
        <f>IFERROR(__xludf.DUMMYFUNCTION("""COMPUTED_VALUE"""),44757.0)</f>
        <v>44757</v>
      </c>
      <c r="M184" s="19" t="str">
        <f>IFERROR(__xludf.DUMMYFUNCTION("""COMPUTED_VALUE"""),"PCM")</f>
        <v>PCM</v>
      </c>
      <c r="N184" s="19" t="str">
        <f>IFERROR(__xludf.DUMMYFUNCTION("""COMPUTED_VALUE"""),"PRIORIDAD 1 Q3 2023 OCTUBRE")</f>
        <v>PRIORIDAD 1 Q3 2023 OCTUBRE</v>
      </c>
    </row>
    <row r="185" ht="15.75" customHeight="1">
      <c r="A185" s="19" t="str">
        <f>IFERROR(__xludf.DUMMYFUNCTION("""COMPUTED_VALUE"""),"AB_9823")</f>
        <v>AB_9823</v>
      </c>
      <c r="B185" s="19" t="str">
        <f>IFERROR(__xludf.DUMMYFUNCTION("""COMPUTED_VALUE"""),"AB_9823_B")</f>
        <v>AB_9823_B</v>
      </c>
      <c r="C185" s="19" t="str">
        <f>IFERROR(__xludf.DUMMYFUNCTION("""COMPUTED_VALUE"""),"AT9823")</f>
        <v>AT9823</v>
      </c>
      <c r="D185" s="19" t="str">
        <f>IFERROR(__xludf.DUMMYFUNCTION("""COMPUTED_VALUE"""),"Ruta C-13 Mina Candelaria")</f>
        <v>Ruta C-13 Mina Candelaria</v>
      </c>
      <c r="E185" s="19" t="str">
        <f>IFERROR(__xludf.DUMMYFUNCTION("""COMPUTED_VALUE"""),"SITIO EN CONSTRUCCION")</f>
        <v>SITIO EN CONSTRUCCION</v>
      </c>
      <c r="F185" s="19" t="str">
        <f>IFERROR(__xludf.DUMMYFUNCTION("""COMPUTED_VALUE"""),"VISITA")</f>
        <v>VISITA</v>
      </c>
      <c r="G185" s="19" t="str">
        <f>IFERROR(__xludf.DUMMYFUNCTION("""COMPUTED_VALUE"""),"CV60")</f>
        <v>CV60</v>
      </c>
      <c r="H185" s="19" t="str">
        <f>IFERROR(__xludf.DUMMYFUNCTION("""COMPUTED_VALUE"""),"INCOSERV")</f>
        <v>INCOSERV</v>
      </c>
      <c r="I185" s="19" t="str">
        <f>IFERROR(__xludf.DUMMYFUNCTION("""COMPUTED_VALUE"""),"Terminada")</f>
        <v>Terminada</v>
      </c>
      <c r="J185" s="20">
        <f>IFERROR(__xludf.DUMMYFUNCTION("""COMPUTED_VALUE"""),45034.0)</f>
        <v>45034</v>
      </c>
      <c r="K185" s="19" t="str">
        <f>IFERROR(__xludf.DUMMYFUNCTION("""COMPUTED_VALUE"""),"Por pintar ")</f>
        <v>Por pintar </v>
      </c>
      <c r="L185" s="20">
        <f>IFERROR(__xludf.DUMMYFUNCTION("""COMPUTED_VALUE"""),45114.0)</f>
        <v>45114</v>
      </c>
      <c r="M185" s="19" t="str">
        <f>IFERROR(__xludf.DUMMYFUNCTION("""COMPUTED_VALUE"""),"PP")</f>
        <v>PP</v>
      </c>
      <c r="N185" s="19" t="str">
        <f>IFERROR(__xludf.DUMMYFUNCTION("""COMPUTED_VALUE"""),"PRIORIDAD 2 Q4 2023 DICIEMBRE")</f>
        <v>PRIORIDAD 2 Q4 2023 DICIEMBRE</v>
      </c>
    </row>
    <row r="186" ht="15.75" customHeight="1">
      <c r="A186" s="19" t="str">
        <f>IFERROR(__xludf.DUMMYFUNCTION("""COMPUTED_VALUE"""),"AB_9824")</f>
        <v>AB_9824</v>
      </c>
      <c r="B186" s="19" t="str">
        <f>IFERROR(__xludf.DUMMYFUNCTION("""COMPUTED_VALUE"""),"AB_9824_A")</f>
        <v>AB_9824_A</v>
      </c>
      <c r="C186" s="19" t="str">
        <f>IFERROR(__xludf.DUMMYFUNCTION("""COMPUTED_VALUE"""),"AT9824")</f>
        <v>AT9824</v>
      </c>
      <c r="D186" s="19" t="str">
        <f>IFERROR(__xludf.DUMMYFUNCTION("""COMPUTED_VALUE"""),"Ruta 5 Los Medanos")</f>
        <v>Ruta 5 Los Medanos</v>
      </c>
      <c r="E186" s="19" t="str">
        <f>IFERROR(__xludf.DUMMYFUNCTION("""COMPUTED_VALUE"""),"DETENIDO COMUNIDAD")</f>
        <v>DETENIDO COMUNIDAD</v>
      </c>
      <c r="F186" s="19" t="str">
        <f>IFERROR(__xludf.DUMMYFUNCTION("""COMPUTED_VALUE"""),"VISITA")</f>
        <v>VISITA</v>
      </c>
      <c r="G186" s="19" t="str">
        <f>IFERROR(__xludf.DUMMYFUNCTION("""COMPUTED_VALUE"""),"CV30")</f>
        <v>CV30</v>
      </c>
      <c r="H186" s="19" t="str">
        <f>IFERROR(__xludf.DUMMYFUNCTION("""COMPUTED_VALUE"""),"MER")</f>
        <v>MER</v>
      </c>
      <c r="I186" s="19" t="str">
        <f>IFERROR(__xludf.DUMMYFUNCTION("""COMPUTED_VALUE"""),"Terminada")</f>
        <v>Terminada</v>
      </c>
      <c r="J186" s="20">
        <f>IFERROR(__xludf.DUMMYFUNCTION("""COMPUTED_VALUE"""),45051.0)</f>
        <v>45051</v>
      </c>
      <c r="K186" s="19" t="str">
        <f>IFERROR(__xludf.DUMMYFUNCTION("""COMPUTED_VALUE"""),"Por pintar ")</f>
        <v>Por pintar </v>
      </c>
      <c r="L186" s="20">
        <f>IFERROR(__xludf.DUMMYFUNCTION("""COMPUTED_VALUE"""),45054.0)</f>
        <v>45054</v>
      </c>
      <c r="M186" s="19" t="str">
        <f>IFERROR(__xludf.DUMMYFUNCTION("""COMPUTED_VALUE"""),"PP")</f>
        <v>PP</v>
      </c>
      <c r="N186" s="19" t="str">
        <f>IFERROR(__xludf.DUMMYFUNCTION("""COMPUTED_VALUE"""),"PRIORIDAD 2 Q4 2023 DICIEMBRE")</f>
        <v>PRIORIDAD 2 Q4 2023 DICIEMBRE</v>
      </c>
    </row>
    <row r="187" ht="15.75" customHeight="1">
      <c r="A187" s="19" t="str">
        <f>IFERROR(__xludf.DUMMYFUNCTION("""COMPUTED_VALUE"""),"AB_9829")</f>
        <v>AB_9829</v>
      </c>
      <c r="B187" s="19" t="str">
        <f>IFERROR(__xludf.DUMMYFUNCTION("""COMPUTED_VALUE"""),"AB_9829_B")</f>
        <v>AB_9829_B</v>
      </c>
      <c r="C187" s="19" t="str">
        <f>IFERROR(__xludf.DUMMYFUNCTION("""COMPUTED_VALUE"""),"AT9829")</f>
        <v>AT9829</v>
      </c>
      <c r="D187" s="19" t="str">
        <f>IFERROR(__xludf.DUMMYFUNCTION("""COMPUTED_VALUE"""),"El Terron")</f>
        <v>El Terron</v>
      </c>
      <c r="E187" s="19" t="str">
        <f>IFERROR(__xludf.DUMMYFUNCTION("""COMPUTED_VALUE"""),"SITIO RFI")</f>
        <v>SITIO RFI</v>
      </c>
      <c r="F187" s="19" t="str">
        <f>IFERROR(__xludf.DUMMYFUNCTION("""COMPUTED_VALUE"""),"RFI")</f>
        <v>RFI</v>
      </c>
      <c r="G187" s="19" t="str">
        <f>IFERROR(__xludf.DUMMYFUNCTION("""COMPUTED_VALUE"""),"AS42")</f>
        <v>AS42</v>
      </c>
      <c r="H187" s="19" t="str">
        <f>IFERROR(__xludf.DUMMYFUNCTION("""COMPUTED_VALUE"""),"MER")</f>
        <v>MER</v>
      </c>
      <c r="I187" s="19" t="str">
        <f>IFERROR(__xludf.DUMMYFUNCTION("""COMPUTED_VALUE"""),"Entregada")</f>
        <v>Entregada</v>
      </c>
      <c r="J187" s="20">
        <f>IFERROR(__xludf.DUMMYFUNCTION("""COMPUTED_VALUE"""),44722.0)</f>
        <v>44722</v>
      </c>
      <c r="K187" s="19" t="str">
        <f>IFERROR(__xludf.DUMMYFUNCTION("""COMPUTED_VALUE"""),"Entregada")</f>
        <v>Entregada</v>
      </c>
      <c r="L187" s="20">
        <f>IFERROR(__xludf.DUMMYFUNCTION("""COMPUTED_VALUE"""),44742.0)</f>
        <v>44742</v>
      </c>
      <c r="M187" s="19" t="str">
        <f>IFERROR(__xludf.DUMMYFUNCTION("""COMPUTED_VALUE"""),"LLOO")</f>
        <v>LLOO</v>
      </c>
      <c r="N187" s="19" t="str">
        <f>IFERROR(__xludf.DUMMYFUNCTION("""COMPUTED_VALUE"""),"PRIORIDAD 1 Q3 2023 OCTUBRE")</f>
        <v>PRIORIDAD 1 Q3 2023 OCTUBRE</v>
      </c>
    </row>
    <row r="188" ht="15.75" customHeight="1">
      <c r="A188" s="19" t="str">
        <f>IFERROR(__xludf.DUMMYFUNCTION("""COMPUTED_VALUE"""),"AB_10107")</f>
        <v>AB_10107</v>
      </c>
      <c r="B188" s="19" t="str">
        <f>IFERROR(__xludf.DUMMYFUNCTION("""COMPUTED_VALUE"""),"AB_10107_B")</f>
        <v>AB_10107_B</v>
      </c>
      <c r="C188" s="19" t="str">
        <f>IFERROR(__xludf.DUMMYFUNCTION("""COMPUTED_VALUE"""),"AY10107")</f>
        <v>AY10107</v>
      </c>
      <c r="D188" s="19" t="str">
        <f>IFERROR(__xludf.DUMMYFUNCTION("""COMPUTED_VALUE"""),"Universisidad Austral de Chile IES 5")</f>
        <v>Universisidad Austral de Chile IES 5</v>
      </c>
      <c r="E188" s="19" t="str">
        <f>IFERROR(__xludf.DUMMYFUNCTION("""COMPUTED_VALUE"""),"SITIO RFI")</f>
        <v>SITIO RFI</v>
      </c>
      <c r="F188" s="19" t="str">
        <f>IFERROR(__xludf.DUMMYFUNCTION("""COMPUTED_VALUE"""),"RFI")</f>
        <v>RFI</v>
      </c>
      <c r="G188" s="19" t="str">
        <f>IFERROR(__xludf.DUMMYFUNCTION("""COMPUTED_VALUE"""),"AS36")</f>
        <v>AS36</v>
      </c>
      <c r="H188" s="19" t="str">
        <f>IFERROR(__xludf.DUMMYFUNCTION("""COMPUTED_VALUE"""),"METALING")</f>
        <v>METALING</v>
      </c>
      <c r="I188" s="19" t="str">
        <f>IFERROR(__xludf.DUMMYFUNCTION("""COMPUTED_VALUE"""),"Entregada")</f>
        <v>Entregada</v>
      </c>
      <c r="J188" s="20">
        <f>IFERROR(__xludf.DUMMYFUNCTION("""COMPUTED_VALUE"""),44680.0)</f>
        <v>44680</v>
      </c>
      <c r="K188" s="19" t="str">
        <f>IFERROR(__xludf.DUMMYFUNCTION("""COMPUTED_VALUE"""),"Entregada")</f>
        <v>Entregada</v>
      </c>
      <c r="L188" s="20">
        <f>IFERROR(__xludf.DUMMYFUNCTION("""COMPUTED_VALUE"""),44722.0)</f>
        <v>44722</v>
      </c>
      <c r="M188" s="19" t="str">
        <f>IFERROR(__xludf.DUMMYFUNCTION("""COMPUTED_VALUE"""),"PCM")</f>
        <v>PCM</v>
      </c>
      <c r="N188" s="19" t="str">
        <f>IFERROR(__xludf.DUMMYFUNCTION("""COMPUTED_VALUE"""),"PRIORIDAD 1 Q3 2023 OCTUBRE")</f>
        <v>PRIORIDAD 1 Q3 2023 OCTUBRE</v>
      </c>
    </row>
    <row r="189" ht="15.75" customHeight="1">
      <c r="A189" s="19" t="str">
        <f>IFERROR(__xludf.DUMMYFUNCTION("""COMPUTED_VALUE"""),"AB_10142")</f>
        <v>AB_10142</v>
      </c>
      <c r="B189" s="19" t="str">
        <f>IFERROR(__xludf.DUMMYFUNCTION("""COMPUTED_VALUE"""),"AB_10142_B")</f>
        <v>AB_10142_B</v>
      </c>
      <c r="C189" s="19" t="str">
        <f>IFERROR(__xludf.DUMMYFUNCTION("""COMPUTED_VALUE"""),"AY10142")</f>
        <v>AY10142</v>
      </c>
      <c r="D189" s="19" t="str">
        <f>IFERROR(__xludf.DUMMYFUNCTION("""COMPUTED_VALUE"""),"Campos de Hielo Sur")</f>
        <v>Campos de Hielo Sur</v>
      </c>
      <c r="E189" s="19" t="str">
        <f>IFERROR(__xludf.DUMMYFUNCTION("""COMPUTED_VALUE"""),"SITIO ASIGNADO")</f>
        <v>SITIO ASIGNADO</v>
      </c>
      <c r="F189" s="19"/>
      <c r="G189" s="19" t="str">
        <f>IFERROR(__xludf.DUMMYFUNCTION("""COMPUTED_VALUE"""),"CV60 (H)")</f>
        <v>CV60 (H)</v>
      </c>
      <c r="H189" s="19" t="str">
        <f>IFERROR(__xludf.DUMMYFUNCTION("""COMPUTED_VALUE"""),"SYC")</f>
        <v>SYC</v>
      </c>
      <c r="I189" s="19" t="str">
        <f>IFERROR(__xludf.DUMMYFUNCTION("""COMPUTED_VALUE"""),"Terminada")</f>
        <v>Terminada</v>
      </c>
      <c r="J189" s="20">
        <f>IFERROR(__xludf.DUMMYFUNCTION("""COMPUTED_VALUE"""),44890.0)</f>
        <v>44890</v>
      </c>
      <c r="K189" s="19" t="str">
        <f>IFERROR(__xludf.DUMMYFUNCTION("""COMPUTED_VALUE"""),"Por pintar ")</f>
        <v>Por pintar </v>
      </c>
      <c r="L189" s="20">
        <f>IFERROR(__xludf.DUMMYFUNCTION("""COMPUTED_VALUE"""),44911.0)</f>
        <v>44911</v>
      </c>
      <c r="M189" s="19" t="str">
        <f>IFERROR(__xludf.DUMMYFUNCTION("""COMPUTED_VALUE"""),"PP")</f>
        <v>PP</v>
      </c>
      <c r="N189" s="19" t="str">
        <f>IFERROR(__xludf.DUMMYFUNCTION("""COMPUTED_VALUE"""),"PRIORIDAD 1 Q3 2023 OCTUBRE")</f>
        <v>PRIORIDAD 1 Q3 2023 OCTUBRE</v>
      </c>
    </row>
    <row r="190" ht="15.75" customHeight="1">
      <c r="A190" s="19" t="str">
        <f>IFERROR(__xludf.DUMMYFUNCTION("""COMPUTED_VALUE"""),"AB_10147")</f>
        <v>AB_10147</v>
      </c>
      <c r="B190" s="19" t="str">
        <f>IFERROR(__xludf.DUMMYFUNCTION("""COMPUTED_VALUE"""),"AB_10147_A")</f>
        <v>AB_10147_A</v>
      </c>
      <c r="C190" s="19" t="str">
        <f>IFERROR(__xludf.DUMMYFUNCTION("""COMPUTED_VALUE"""),"AY10147")</f>
        <v>AY10147</v>
      </c>
      <c r="D190" s="19" t="str">
        <f>IFERROR(__xludf.DUMMYFUNCTION("""COMPUTED_VALUE"""),"CIC Campos de Hielo SUR_2")</f>
        <v>CIC Campos de Hielo SUR_2</v>
      </c>
      <c r="E190" s="19" t="str">
        <f>IFERROR(__xludf.DUMMYFUNCTION("""COMPUTED_VALUE"""),"SITIO ASIGNADO")</f>
        <v>SITIO ASIGNADO</v>
      </c>
      <c r="F190" s="19"/>
      <c r="G190" s="19" t="str">
        <f>IFERROR(__xludf.DUMMYFUNCTION("""COMPUTED_VALUE"""),"CV60 (H)")</f>
        <v>CV60 (H)</v>
      </c>
      <c r="H190" s="19" t="str">
        <f>IFERROR(__xludf.DUMMYFUNCTION("""COMPUTED_VALUE"""),"AJ")</f>
        <v>AJ</v>
      </c>
      <c r="I190" s="19" t="str">
        <f>IFERROR(__xludf.DUMMYFUNCTION("""COMPUTED_VALUE"""),"Terminada")</f>
        <v>Terminada</v>
      </c>
      <c r="J190" s="20">
        <f>IFERROR(__xludf.DUMMYFUNCTION("""COMPUTED_VALUE"""),44883.0)</f>
        <v>44883</v>
      </c>
      <c r="K190" s="19" t="str">
        <f>IFERROR(__xludf.DUMMYFUNCTION("""COMPUTED_VALUE"""),"Terminada")</f>
        <v>Terminada</v>
      </c>
      <c r="L190" s="20">
        <f>IFERROR(__xludf.DUMMYFUNCTION("""COMPUTED_VALUE"""),44883.0)</f>
        <v>44883</v>
      </c>
      <c r="M190" s="19" t="str">
        <f>IFERROR(__xludf.DUMMYFUNCTION("""COMPUTED_VALUE"""),"PP")</f>
        <v>PP</v>
      </c>
      <c r="N190" s="19" t="str">
        <f>IFERROR(__xludf.DUMMYFUNCTION("""COMPUTED_VALUE"""),"PRIORIDAD 1 Q3 2023 OCTUBRE")</f>
        <v>PRIORIDAD 1 Q3 2023 OCTUBRE</v>
      </c>
    </row>
    <row r="191" ht="15.75" customHeight="1">
      <c r="A191" s="19" t="str">
        <f>IFERROR(__xludf.DUMMYFUNCTION("""COMPUTED_VALUE"""),"AB_10274")</f>
        <v>AB_10274</v>
      </c>
      <c r="B191" s="19" t="str">
        <f>IFERROR(__xludf.DUMMYFUNCTION("""COMPUTED_VALUE"""),"AB_10274_D")</f>
        <v>AB_10274_D</v>
      </c>
      <c r="C191" s="19" t="str">
        <f>IFERROR(__xludf.DUMMYFUNCTION("""COMPUTED_VALUE"""),"AY10274")</f>
        <v>AY10274</v>
      </c>
      <c r="D191" s="19" t="str">
        <f>IFERROR(__xludf.DUMMYFUNCTION("""COMPUTED_VALUE"""),"Mañihuales")</f>
        <v>Mañihuales</v>
      </c>
      <c r="E191" s="19" t="str">
        <f>IFERROR(__xludf.DUMMYFUNCTION("""COMPUTED_VALUE"""),"SITIO RFI")</f>
        <v>SITIO RFI</v>
      </c>
      <c r="F191" s="19" t="str">
        <f>IFERROR(__xludf.DUMMYFUNCTION("""COMPUTED_VALUE"""),"RFI")</f>
        <v>RFI</v>
      </c>
      <c r="G191" s="19" t="str">
        <f>IFERROR(__xludf.DUMMYFUNCTION("""COMPUTED_VALUE"""),"CV60")</f>
        <v>CV60</v>
      </c>
      <c r="H191" s="19" t="str">
        <f>IFERROR(__xludf.DUMMYFUNCTION("""COMPUTED_VALUE"""),"AJ")</f>
        <v>AJ</v>
      </c>
      <c r="I191" s="19" t="str">
        <f>IFERROR(__xludf.DUMMYFUNCTION("""COMPUTED_VALUE"""),"Entregada")</f>
        <v>Entregada</v>
      </c>
      <c r="J191" s="20">
        <f>IFERROR(__xludf.DUMMYFUNCTION("""COMPUTED_VALUE"""),44732.0)</f>
        <v>44732</v>
      </c>
      <c r="K191" s="19" t="str">
        <f>IFERROR(__xludf.DUMMYFUNCTION("""COMPUTED_VALUE"""),"Entregada")</f>
        <v>Entregada</v>
      </c>
      <c r="L191" s="20">
        <f>IFERROR(__xludf.DUMMYFUNCTION("""COMPUTED_VALUE"""),44785.0)</f>
        <v>44785</v>
      </c>
      <c r="M191" s="19" t="str">
        <f>IFERROR(__xludf.DUMMYFUNCTION("""COMPUTED_VALUE"""),"PCM")</f>
        <v>PCM</v>
      </c>
      <c r="N191" s="19" t="str">
        <f>IFERROR(__xludf.DUMMYFUNCTION("""COMPUTED_VALUE"""),"PRIORIDAD 1 Q3 2023 OCTUBRE")</f>
        <v>PRIORIDAD 1 Q3 2023 OCTUBRE</v>
      </c>
    </row>
    <row r="192" ht="15.75" customHeight="1">
      <c r="A192" s="19" t="str">
        <f>IFERROR(__xludf.DUMMYFUNCTION("""COMPUTED_VALUE"""),"AB_10275")</f>
        <v>AB_10275</v>
      </c>
      <c r="B192" s="19" t="str">
        <f>IFERROR(__xludf.DUMMYFUNCTION("""COMPUTED_VALUE"""),"AB_10275_A")</f>
        <v>AB_10275_A</v>
      </c>
      <c r="C192" s="19" t="str">
        <f>IFERROR(__xludf.DUMMYFUNCTION("""COMPUTED_VALUE"""),"AY10275")</f>
        <v>AY10275</v>
      </c>
      <c r="D192" s="19" t="str">
        <f>IFERROR(__xludf.DUMMYFUNCTION("""COMPUTED_VALUE"""),"Media Luna Chile Chico")</f>
        <v>Media Luna Chile Chico</v>
      </c>
      <c r="E192" s="19" t="str">
        <f>IFERROR(__xludf.DUMMYFUNCTION("""COMPUTED_VALUE"""),"SITIO RFI")</f>
        <v>SITIO RFI</v>
      </c>
      <c r="F192" s="19" t="str">
        <f>IFERROR(__xludf.DUMMYFUNCTION("""COMPUTED_VALUE"""),"RFI")</f>
        <v>RFI</v>
      </c>
      <c r="G192" s="19" t="str">
        <f>IFERROR(__xludf.DUMMYFUNCTION("""COMPUTED_VALUE"""),"AS42 (H)")</f>
        <v>AS42 (H)</v>
      </c>
      <c r="H192" s="19" t="str">
        <f>IFERROR(__xludf.DUMMYFUNCTION("""COMPUTED_VALUE"""),"JTI")</f>
        <v>JTI</v>
      </c>
      <c r="I192" s="19" t="str">
        <f>IFERROR(__xludf.DUMMYFUNCTION("""COMPUTED_VALUE"""),"Entregada")</f>
        <v>Entregada</v>
      </c>
      <c r="J192" s="20">
        <f>IFERROR(__xludf.DUMMYFUNCTION("""COMPUTED_VALUE"""),44694.0)</f>
        <v>44694</v>
      </c>
      <c r="K192" s="19" t="str">
        <f>IFERROR(__xludf.DUMMYFUNCTION("""COMPUTED_VALUE"""),"Entregada")</f>
        <v>Entregada</v>
      </c>
      <c r="L192" s="20">
        <f>IFERROR(__xludf.DUMMYFUNCTION("""COMPUTED_VALUE"""),44708.0)</f>
        <v>44708</v>
      </c>
      <c r="M192" s="19" t="str">
        <f>IFERROR(__xludf.DUMMYFUNCTION("""COMPUTED_VALUE"""),"PCM")</f>
        <v>PCM</v>
      </c>
      <c r="N192" s="19" t="str">
        <f>IFERROR(__xludf.DUMMYFUNCTION("""COMPUTED_VALUE"""),"PRIORIDAD 1 Q3 2023 OCTUBRE")</f>
        <v>PRIORIDAD 1 Q3 2023 OCTUBRE</v>
      </c>
    </row>
    <row r="193" ht="15.75" customHeight="1">
      <c r="A193" s="19" t="str">
        <f>IFERROR(__xludf.DUMMYFUNCTION("""COMPUTED_VALUE"""),"AB_11207")</f>
        <v>AB_11207</v>
      </c>
      <c r="B193" s="19" t="str">
        <f>IFERROR(__xludf.DUMMYFUNCTION("""COMPUTED_VALUE"""),"AB_11207_B")</f>
        <v>AB_11207_B</v>
      </c>
      <c r="C193" s="19" t="str">
        <f>IFERROR(__xludf.DUMMYFUNCTION("""COMPUTED_VALUE"""),"AY11207")</f>
        <v>AY11207</v>
      </c>
      <c r="D193" s="19" t="str">
        <f>IFERROR(__xludf.DUMMYFUNCTION("""COMPUTED_VALUE"""),"Puerto Cisnes Oriente")</f>
        <v>Puerto Cisnes Oriente</v>
      </c>
      <c r="E193" s="19" t="str">
        <f>IFERROR(__xludf.DUMMYFUNCTION("""COMPUTED_VALUE"""),"SITIO RFI")</f>
        <v>SITIO RFI</v>
      </c>
      <c r="F193" s="19" t="str">
        <f>IFERROR(__xludf.DUMMYFUNCTION("""COMPUTED_VALUE"""),"RFI")</f>
        <v>RFI</v>
      </c>
      <c r="G193" s="19" t="str">
        <f>IFERROR(__xludf.DUMMYFUNCTION("""COMPUTED_VALUE"""),"AS42")</f>
        <v>AS42</v>
      </c>
      <c r="H193" s="19" t="str">
        <f>IFERROR(__xludf.DUMMYFUNCTION("""COMPUTED_VALUE"""),"SyC")</f>
        <v>SyC</v>
      </c>
      <c r="I193" s="19" t="str">
        <f>IFERROR(__xludf.DUMMYFUNCTION("""COMPUTED_VALUE"""),"Entregada")</f>
        <v>Entregada</v>
      </c>
      <c r="J193" s="20">
        <f>IFERROR(__xludf.DUMMYFUNCTION("""COMPUTED_VALUE"""),44671.0)</f>
        <v>44671</v>
      </c>
      <c r="K193" s="19" t="str">
        <f>IFERROR(__xludf.DUMMYFUNCTION("""COMPUTED_VALUE"""),"Entregada")</f>
        <v>Entregada</v>
      </c>
      <c r="L193" s="20">
        <f>IFERROR(__xludf.DUMMYFUNCTION("""COMPUTED_VALUE"""),44792.0)</f>
        <v>44792</v>
      </c>
      <c r="M193" s="19" t="str">
        <f>IFERROR(__xludf.DUMMYFUNCTION("""COMPUTED_VALUE"""),"PCM_2")</f>
        <v>PCM_2</v>
      </c>
      <c r="N193" s="19" t="str">
        <f>IFERROR(__xludf.DUMMYFUNCTION("""COMPUTED_VALUE"""),"PRIORIDAD 1 Q3 2023 OCTUBRE")</f>
        <v>PRIORIDAD 1 Q3 2023 OCTUBRE</v>
      </c>
    </row>
    <row r="194" ht="15.75" customHeight="1">
      <c r="A194" s="19" t="str">
        <f>IFERROR(__xludf.DUMMYFUNCTION("""COMPUTED_VALUE"""),"AB_11454")</f>
        <v>AB_11454</v>
      </c>
      <c r="B194" s="19" t="str">
        <f>IFERROR(__xludf.DUMMYFUNCTION("""COMPUTED_VALUE"""),"AB_11454_B")</f>
        <v>AB_11454_B</v>
      </c>
      <c r="C194" s="19" t="str">
        <f>IFERROR(__xludf.DUMMYFUNCTION("""COMPUTED_VALUE"""),"AY11454")</f>
        <v>AY11454</v>
      </c>
      <c r="D194" s="19" t="str">
        <f>IFERROR(__xludf.DUMMYFUNCTION("""COMPUTED_VALUE"""),"Puerto Cisnes RPT")</f>
        <v>Puerto Cisnes RPT</v>
      </c>
      <c r="E194" s="19" t="str">
        <f>IFERROR(__xludf.DUMMYFUNCTION("""COMPUTED_VALUE"""),"DETENIDO COMPRA ESTRUCTURA")</f>
        <v>DETENIDO COMPRA ESTRUCTURA</v>
      </c>
      <c r="F194" s="19"/>
      <c r="G194" s="19" t="str">
        <f>IFERROR(__xludf.DUMMYFUNCTION("""COMPUTED_VALUE"""),"MP R36")</f>
        <v>MP R36</v>
      </c>
      <c r="H194" s="19" t="str">
        <f>IFERROR(__xludf.DUMMYFUNCTION("""COMPUTED_VALUE"""),"COMPRAS")</f>
        <v>COMPRAS</v>
      </c>
      <c r="I194" s="19"/>
      <c r="J194" s="19"/>
      <c r="K194" s="19"/>
      <c r="L194" s="19"/>
      <c r="M194" s="19" t="str">
        <f>IFERROR(__xludf.DUMMYFUNCTION("""COMPUTED_VALUE"""),"PCM_3")</f>
        <v>PCM_3</v>
      </c>
      <c r="N194" s="19" t="str">
        <f>IFERROR(__xludf.DUMMYFUNCTION("""COMPUTED_VALUE"""),"PRIORIDAD 3 Q1 2024 MARZO")</f>
        <v>PRIORIDAD 3 Q1 2024 MARZO</v>
      </c>
    </row>
    <row r="195" ht="15.75" customHeight="1">
      <c r="A195" s="19" t="str">
        <f>IFERROR(__xludf.DUMMYFUNCTION("""COMPUTED_VALUE"""),"AB_11655")</f>
        <v>AB_11655</v>
      </c>
      <c r="B195" s="19" t="str">
        <f>IFERROR(__xludf.DUMMYFUNCTION("""COMPUTED_VALUE"""),"AB_11655_C")</f>
        <v>AB_11655_C</v>
      </c>
      <c r="C195" s="19" t="str">
        <f>IFERROR(__xludf.DUMMYFUNCTION("""COMPUTED_VALUE"""),"AY11655")</f>
        <v>AY11655</v>
      </c>
      <c r="D195" s="19" t="str">
        <f>IFERROR(__xludf.DUMMYFUNCTION("""COMPUTED_VALUE"""),"RPT Mañihuales")</f>
        <v>RPT Mañihuales</v>
      </c>
      <c r="E195" s="19" t="str">
        <f>IFERROR(__xludf.DUMMYFUNCTION("""COMPUTED_VALUE"""),"SITIO PENDIENTE")</f>
        <v>SITIO PENDIENTE</v>
      </c>
      <c r="F195" s="19"/>
      <c r="G195" s="19" t="str">
        <f>IFERROR(__xludf.DUMMYFUNCTION("""COMPUTED_VALUE"""),"x")</f>
        <v>x</v>
      </c>
      <c r="H195" s="19" t="str">
        <f>IFERROR(__xludf.DUMMYFUNCTION("""COMPUTED_VALUE"""),"x")</f>
        <v>x</v>
      </c>
      <c r="I195" s="19" t="str">
        <f>IFERROR(__xludf.DUMMYFUNCTION("""COMPUTED_VALUE"""),"x")</f>
        <v>x</v>
      </c>
      <c r="J195" s="20" t="str">
        <f>IFERROR(__xludf.DUMMYFUNCTION("""COMPUTED_VALUE"""),"x")</f>
        <v>x</v>
      </c>
      <c r="K195" s="19" t="str">
        <f>IFERROR(__xludf.DUMMYFUNCTION("""COMPUTED_VALUE"""),"x")</f>
        <v>x</v>
      </c>
      <c r="L195" s="20" t="str">
        <f>IFERROR(__xludf.DUMMYFUNCTION("""COMPUTED_VALUE"""),"x")</f>
        <v>x</v>
      </c>
      <c r="M195" s="19" t="str">
        <f>IFERROR(__xludf.DUMMYFUNCTION("""COMPUTED_VALUE"""),"PCM_3")</f>
        <v>PCM_3</v>
      </c>
      <c r="N195" s="19" t="str">
        <f>IFERROR(__xludf.DUMMYFUNCTION("""COMPUTED_VALUE"""),"PRIORIDAD 3 Q1 2024 MARZO")</f>
        <v>PRIORIDAD 3 Q1 2024 MARZO</v>
      </c>
    </row>
    <row r="196" ht="15.75" customHeight="1">
      <c r="A196" s="19" t="str">
        <f>IFERROR(__xludf.DUMMYFUNCTION("""COMPUTED_VALUE"""),"AB_11711")</f>
        <v>AB_11711</v>
      </c>
      <c r="B196" s="19" t="str">
        <f>IFERROR(__xludf.DUMMYFUNCTION("""COMPUTED_VALUE"""),"AB_11711_A")</f>
        <v>AB_11711_A</v>
      </c>
      <c r="C196" s="19" t="str">
        <f>IFERROR(__xludf.DUMMYFUNCTION("""COMPUTED_VALUE"""),"AY11711")</f>
        <v>AY11711</v>
      </c>
      <c r="D196" s="19" t="str">
        <f>IFERROR(__xludf.DUMMYFUNCTION("""COMPUTED_VALUE"""),"Melinka Los Tiques")</f>
        <v>Melinka Los Tiques</v>
      </c>
      <c r="E196" s="19" t="str">
        <f>IFERROR(__xludf.DUMMYFUNCTION("""COMPUTED_VALUE"""),"SITIO ASIGNADO")</f>
        <v>SITIO ASIGNADO</v>
      </c>
      <c r="F196" s="19"/>
      <c r="G196" s="19" t="str">
        <f>IFERROR(__xludf.DUMMYFUNCTION("""COMPUTED_VALUE"""),"CV60 (H)")</f>
        <v>CV60 (H)</v>
      </c>
      <c r="H196" s="19" t="str">
        <f>IFERROR(__xludf.DUMMYFUNCTION("""COMPUTED_VALUE"""),"DEPROMET")</f>
        <v>DEPROMET</v>
      </c>
      <c r="I196" s="19" t="str">
        <f>IFERROR(__xludf.DUMMYFUNCTION("""COMPUTED_VALUE"""),"Terminada")</f>
        <v>Terminada</v>
      </c>
      <c r="J196" s="20">
        <f>IFERROR(__xludf.DUMMYFUNCTION("""COMPUTED_VALUE"""),45082.0)</f>
        <v>45082</v>
      </c>
      <c r="K196" s="19" t="str">
        <f>IFERROR(__xludf.DUMMYFUNCTION("""COMPUTED_VALUE"""),"Terminada")</f>
        <v>Terminada</v>
      </c>
      <c r="L196" s="20">
        <f>IFERROR(__xludf.DUMMYFUNCTION("""COMPUTED_VALUE"""),45082.0)</f>
        <v>45082</v>
      </c>
      <c r="M196" s="19" t="str">
        <f>IFERROR(__xludf.DUMMYFUNCTION("""COMPUTED_VALUE"""),"PCM_2")</f>
        <v>PCM_2</v>
      </c>
      <c r="N196" s="19" t="str">
        <f>IFERROR(__xludf.DUMMYFUNCTION("""COMPUTED_VALUE"""),"PRIORIDAD 1 Q3 2023 OCTUBRE")</f>
        <v>PRIORIDAD 1 Q3 2023 OCTUBRE</v>
      </c>
    </row>
    <row r="197" ht="15.75" customHeight="1">
      <c r="A197" s="19" t="str">
        <f>IFERROR(__xludf.DUMMYFUNCTION("""COMPUTED_VALUE"""),"AB_11714")</f>
        <v>AB_11714</v>
      </c>
      <c r="B197" s="19" t="str">
        <f>IFERROR(__xludf.DUMMYFUNCTION("""COMPUTED_VALUE"""),"AB_11714_A")</f>
        <v>AB_11714_A</v>
      </c>
      <c r="C197" s="19" t="str">
        <f>IFERROR(__xludf.DUMMYFUNCTION("""COMPUTED_VALUE"""),"AY11714")</f>
        <v>AY11714</v>
      </c>
      <c r="D197" s="19" t="str">
        <f>IFERROR(__xludf.DUMMYFUNCTION("""COMPUTED_VALUE"""),"Mañihuales - Ruta 7 LL.OO.")</f>
        <v>Mañihuales - Ruta 7 LL.OO.</v>
      </c>
      <c r="E197" s="19" t="str">
        <f>IFERROR(__xludf.DUMMYFUNCTION("""COMPUTED_VALUE"""),"DETENIDO COMPRA ESTRUCTURA")</f>
        <v>DETENIDO COMPRA ESTRUCTURA</v>
      </c>
      <c r="F197" s="19"/>
      <c r="G197" s="19" t="str">
        <f>IFERROR(__xludf.DUMMYFUNCTION("""COMPUTED_VALUE"""),"CV60 (H)")</f>
        <v>CV60 (H)</v>
      </c>
      <c r="H197" s="19" t="str">
        <f>IFERROR(__xludf.DUMMYFUNCTION("""COMPUTED_VALUE"""),"COMPRAS")</f>
        <v>COMPRAS</v>
      </c>
      <c r="I197" s="19"/>
      <c r="J197" s="19"/>
      <c r="K197" s="19"/>
      <c r="L197" s="19"/>
      <c r="M197" s="19" t="str">
        <f>IFERROR(__xludf.DUMMYFUNCTION("""COMPUTED_VALUE"""),"LLOO_2")</f>
        <v>LLOO_2</v>
      </c>
      <c r="N197" s="19" t="str">
        <f>IFERROR(__xludf.DUMMYFUNCTION("""COMPUTED_VALUE"""),"PRIORIDAD 3 Q1 2024 MARZO")</f>
        <v>PRIORIDAD 3 Q1 2024 MARZO</v>
      </c>
    </row>
    <row r="198" ht="15.75" customHeight="1">
      <c r="A198" s="19" t="str">
        <f>IFERROR(__xludf.DUMMYFUNCTION("""COMPUTED_VALUE"""),"AB_11715")</f>
        <v>AB_11715</v>
      </c>
      <c r="B198" s="19" t="str">
        <f>IFERROR(__xludf.DUMMYFUNCTION("""COMPUTED_VALUE"""),"AB_11715_A")</f>
        <v>AB_11715_A</v>
      </c>
      <c r="C198" s="19" t="str">
        <f>IFERROR(__xludf.DUMMYFUNCTION("""COMPUTED_VALUE"""),"AY11715")</f>
        <v>AY11715</v>
      </c>
      <c r="D198" s="19" t="str">
        <f>IFERROR(__xludf.DUMMYFUNCTION("""COMPUTED_VALUE"""),"Pasarela Mañihuales LL.OO.")</f>
        <v>Pasarela Mañihuales LL.OO.</v>
      </c>
      <c r="E198" s="19" t="str">
        <f>IFERROR(__xludf.DUMMYFUNCTION("""COMPUTED_VALUE"""),"DETENIDO COMPRA ESTRUCTURA")</f>
        <v>DETENIDO COMPRA ESTRUCTURA</v>
      </c>
      <c r="F198" s="19"/>
      <c r="G198" s="19" t="str">
        <f>IFERROR(__xludf.DUMMYFUNCTION("""COMPUTED_VALUE"""),"CV48 (H)")</f>
        <v>CV48 (H)</v>
      </c>
      <c r="H198" s="19" t="str">
        <f>IFERROR(__xludf.DUMMYFUNCTION("""COMPUTED_VALUE"""),"")</f>
        <v/>
      </c>
      <c r="I198" s="19" t="str">
        <f>IFERROR(__xludf.DUMMYFUNCTION("""COMPUTED_VALUE"""),"")</f>
        <v/>
      </c>
      <c r="J198" s="20" t="str">
        <f>IFERROR(__xludf.DUMMYFUNCTION("""COMPUTED_VALUE"""),"")</f>
        <v/>
      </c>
      <c r="K198" s="19" t="str">
        <f>IFERROR(__xludf.DUMMYFUNCTION("""COMPUTED_VALUE"""),"")</f>
        <v/>
      </c>
      <c r="L198" s="20" t="str">
        <f>IFERROR(__xludf.DUMMYFUNCTION("""COMPUTED_VALUE"""),"")</f>
        <v/>
      </c>
      <c r="M198" s="19" t="str">
        <f>IFERROR(__xludf.DUMMYFUNCTION("""COMPUTED_VALUE"""),"LLOO_2")</f>
        <v>LLOO_2</v>
      </c>
      <c r="N198" s="19" t="str">
        <f>IFERROR(__xludf.DUMMYFUNCTION("""COMPUTED_VALUE"""),"PRIORIDAD 3 Q1 2024 MARZO")</f>
        <v>PRIORIDAD 3 Q1 2024 MARZO</v>
      </c>
    </row>
    <row r="199" ht="15.75" customHeight="1">
      <c r="A199" s="19" t="str">
        <f>IFERROR(__xludf.DUMMYFUNCTION("""COMPUTED_VALUE"""),"AB_11734")</f>
        <v>AB_11734</v>
      </c>
      <c r="B199" s="19" t="str">
        <f>IFERROR(__xludf.DUMMYFUNCTION("""COMPUTED_VALUE"""),"AB_11734_C")</f>
        <v>AB_11734_C</v>
      </c>
      <c r="C199" s="19" t="str">
        <f>IFERROR(__xludf.DUMMYFUNCTION("""COMPUTED_VALUE"""),"AY11734")</f>
        <v>AY11734</v>
      </c>
      <c r="D199" s="19" t="str">
        <f>IFERROR(__xludf.DUMMYFUNCTION("""COMPUTED_VALUE"""),"Chile Chico")</f>
        <v>Chile Chico</v>
      </c>
      <c r="E199" s="19" t="str">
        <f>IFERROR(__xludf.DUMMYFUNCTION("""COMPUTED_VALUE"""),"DETENIDO COMPRA ESTRUCTURA")</f>
        <v>DETENIDO COMPRA ESTRUCTURA</v>
      </c>
      <c r="F199" s="19"/>
      <c r="G199" s="19" t="str">
        <f>IFERROR(__xludf.DUMMYFUNCTION("""COMPUTED_VALUE"""),"CV60 (H)")</f>
        <v>CV60 (H)</v>
      </c>
      <c r="H199" s="19" t="str">
        <f>IFERROR(__xludf.DUMMYFUNCTION("""COMPUTED_VALUE"""),"COMPRAS")</f>
        <v>COMPRAS</v>
      </c>
      <c r="I199" s="19"/>
      <c r="J199" s="19"/>
      <c r="K199" s="19"/>
      <c r="L199" s="19"/>
      <c r="M199" s="19" t="str">
        <f>IFERROR(__xludf.DUMMYFUNCTION("""COMPUTED_VALUE"""),"LLOO_2")</f>
        <v>LLOO_2</v>
      </c>
      <c r="N199" s="19" t="str">
        <f>IFERROR(__xludf.DUMMYFUNCTION("""COMPUTED_VALUE"""),"PRIORIDAD 3 Q1 2024 MARZO")</f>
        <v>PRIORIDAD 3 Q1 2024 MARZO</v>
      </c>
    </row>
    <row r="200" ht="15.75" customHeight="1">
      <c r="A200" s="19" t="str">
        <f>IFERROR(__xludf.DUMMYFUNCTION("""COMPUTED_VALUE"""),"AB_2392")</f>
        <v>AB_2392</v>
      </c>
      <c r="B200" s="19" t="str">
        <f>IFERROR(__xludf.DUMMYFUNCTION("""COMPUTED_VALUE"""),"AB_2392_A")</f>
        <v>AB_2392_A</v>
      </c>
      <c r="C200" s="19" t="str">
        <f>IFERROR(__xludf.DUMMYFUNCTION("""COMPUTED_VALUE"""),"AY2392")</f>
        <v>AY2392</v>
      </c>
      <c r="D200" s="19" t="str">
        <f>IFERROR(__xludf.DUMMYFUNCTION("""COMPUTED_VALUE"""),"Chile Chico")</f>
        <v>Chile Chico</v>
      </c>
      <c r="E200" s="19" t="str">
        <f>IFERROR(__xludf.DUMMYFUNCTION("""COMPUTED_VALUE"""),"SITIO RFI")</f>
        <v>SITIO RFI</v>
      </c>
      <c r="F200" s="19" t="str">
        <f>IFERROR(__xludf.DUMMYFUNCTION("""COMPUTED_VALUE"""),"RFI")</f>
        <v>RFI</v>
      </c>
      <c r="G200" s="19" t="str">
        <f>IFERROR(__xludf.DUMMYFUNCTION("""COMPUTED_VALUE"""),"AS42 (H)")</f>
        <v>AS42 (H)</v>
      </c>
      <c r="H200" s="19" t="str">
        <f>IFERROR(__xludf.DUMMYFUNCTION("""COMPUTED_VALUE"""),"JTI")</f>
        <v>JTI</v>
      </c>
      <c r="I200" s="19" t="str">
        <f>IFERROR(__xludf.DUMMYFUNCTION("""COMPUTED_VALUE"""),"Entregada")</f>
        <v>Entregada</v>
      </c>
      <c r="J200" s="20">
        <f>IFERROR(__xludf.DUMMYFUNCTION("""COMPUTED_VALUE"""),44670.0)</f>
        <v>44670</v>
      </c>
      <c r="K200" s="19" t="str">
        <f>IFERROR(__xludf.DUMMYFUNCTION("""COMPUTED_VALUE"""),"Entregada")</f>
        <v>Entregada</v>
      </c>
      <c r="L200" s="20">
        <f>IFERROR(__xludf.DUMMYFUNCTION("""COMPUTED_VALUE"""),44708.0)</f>
        <v>44708</v>
      </c>
      <c r="M200" s="19" t="str">
        <f>IFERROR(__xludf.DUMMYFUNCTION("""COMPUTED_VALUE"""),"PCM")</f>
        <v>PCM</v>
      </c>
      <c r="N200" s="19" t="str">
        <f>IFERROR(__xludf.DUMMYFUNCTION("""COMPUTED_VALUE"""),"PRIORIDAD 1 Q3 2023 OCTUBRE")</f>
        <v>PRIORIDAD 1 Q3 2023 OCTUBRE</v>
      </c>
    </row>
    <row r="201" ht="15.75" customHeight="1">
      <c r="A201" s="19" t="str">
        <f>IFERROR(__xludf.DUMMYFUNCTION("""COMPUTED_VALUE"""),"AB_2498")</f>
        <v>AB_2498</v>
      </c>
      <c r="B201" s="19" t="str">
        <f>IFERROR(__xludf.DUMMYFUNCTION("""COMPUTED_VALUE"""),"AB_2498_C")</f>
        <v>AB_2498_C</v>
      </c>
      <c r="C201" s="19" t="str">
        <f>IFERROR(__xludf.DUMMYFUNCTION("""COMPUTED_VALUE"""),"AY2498")</f>
        <v>AY2498</v>
      </c>
      <c r="D201" s="19" t="str">
        <f>IFERROR(__xludf.DUMMYFUNCTION("""COMPUTED_VALUE"""),"Laguna Foitzick")</f>
        <v>Laguna Foitzick</v>
      </c>
      <c r="E201" s="19" t="str">
        <f>IFERROR(__xludf.DUMMYFUNCTION("""COMPUTED_VALUE"""),"EN VALIDACION COMPRAS")</f>
        <v>EN VALIDACION COMPRAS</v>
      </c>
      <c r="F201" s="19"/>
      <c r="G201" s="19" t="str">
        <f>IFERROR(__xludf.DUMMYFUNCTION("""COMPUTED_VALUE"""),"CV42 (H)")</f>
        <v>CV42 (H)</v>
      </c>
      <c r="H201" s="19" t="str">
        <f>IFERROR(__xludf.DUMMYFUNCTION("""COMPUTED_VALUE"""),"DEPROMET")</f>
        <v>DEPROMET</v>
      </c>
      <c r="I201" s="19" t="str">
        <f>IFERROR(__xludf.DUMMYFUNCTION("""COMPUTED_VALUE"""),"Asignada")</f>
        <v>Asignada</v>
      </c>
      <c r="J201" s="20">
        <f>IFERROR(__xludf.DUMMYFUNCTION("""COMPUTED_VALUE"""),45163.0)</f>
        <v>45163</v>
      </c>
      <c r="K201" s="19" t="str">
        <f>IFERROR(__xludf.DUMMYFUNCTION("""COMPUTED_VALUE"""),"Asignada")</f>
        <v>Asignada</v>
      </c>
      <c r="L201" s="20">
        <f>IFERROR(__xludf.DUMMYFUNCTION("""COMPUTED_VALUE"""),45170.0)</f>
        <v>45170</v>
      </c>
      <c r="M201" s="19" t="str">
        <f>IFERROR(__xludf.DUMMYFUNCTION("""COMPUTED_VALUE"""),"PCM")</f>
        <v>PCM</v>
      </c>
      <c r="N201" s="19" t="str">
        <f>IFERROR(__xludf.DUMMYFUNCTION("""COMPUTED_VALUE"""),"PRIORIDAD 1 Q3 2023 OCTUBRE")</f>
        <v>PRIORIDAD 1 Q3 2023 OCTUBRE</v>
      </c>
    </row>
    <row r="202" ht="15.75" customHeight="1">
      <c r="A202" s="19" t="str">
        <f>IFERROR(__xludf.DUMMYFUNCTION("""COMPUTED_VALUE"""),"AB_2501")</f>
        <v>AB_2501</v>
      </c>
      <c r="B202" s="19" t="str">
        <f>IFERROR(__xludf.DUMMYFUNCTION("""COMPUTED_VALUE"""),"AB_2501_C")</f>
        <v>AB_2501_C</v>
      </c>
      <c r="C202" s="19" t="str">
        <f>IFERROR(__xludf.DUMMYFUNCTION("""COMPUTED_VALUE"""),"AY2501")</f>
        <v>AY2501</v>
      </c>
      <c r="D202" s="19" t="str">
        <f>IFERROR(__xludf.DUMMYFUNCTION("""COMPUTED_VALUE"""),"Balmaceda Coyhaique")</f>
        <v>Balmaceda Coyhaique</v>
      </c>
      <c r="E202" s="19" t="str">
        <f>IFERROR(__xludf.DUMMYFUNCTION("""COMPUTED_VALUE"""),"SITIO RFI")</f>
        <v>SITIO RFI</v>
      </c>
      <c r="F202" s="19" t="str">
        <f>IFERROR(__xludf.DUMMYFUNCTION("""COMPUTED_VALUE"""),"MONTAJE")</f>
        <v>MONTAJE</v>
      </c>
      <c r="G202" s="19" t="str">
        <f>IFERROR(__xludf.DUMMYFUNCTION("""COMPUTED_VALUE"""),"AS42 (H)")</f>
        <v>AS42 (H)</v>
      </c>
      <c r="H202" s="19" t="str">
        <f>IFERROR(__xludf.DUMMYFUNCTION("""COMPUTED_VALUE"""),"MER")</f>
        <v>MER</v>
      </c>
      <c r="I202" s="19" t="str">
        <f>IFERROR(__xludf.DUMMYFUNCTION("""COMPUTED_VALUE"""),"Entregada")</f>
        <v>Entregada</v>
      </c>
      <c r="J202" s="20">
        <f>IFERROR(__xludf.DUMMYFUNCTION("""COMPUTED_VALUE"""),44881.0)</f>
        <v>44881</v>
      </c>
      <c r="K202" s="19" t="str">
        <f>IFERROR(__xludf.DUMMYFUNCTION("""COMPUTED_VALUE"""),"Entregada")</f>
        <v>Entregada</v>
      </c>
      <c r="L202" s="20">
        <f>IFERROR(__xludf.DUMMYFUNCTION("""COMPUTED_VALUE"""),44876.0)</f>
        <v>44876</v>
      </c>
      <c r="M202" s="19" t="str">
        <f>IFERROR(__xludf.DUMMYFUNCTION("""COMPUTED_VALUE"""),"PP")</f>
        <v>PP</v>
      </c>
      <c r="N202" s="19" t="str">
        <f>IFERROR(__xludf.DUMMYFUNCTION("""COMPUTED_VALUE"""),"PRIORIDAD 1 Q3 2023 OCTUBRE")</f>
        <v>PRIORIDAD 1 Q3 2023 OCTUBRE</v>
      </c>
    </row>
    <row r="203" ht="15.75" customHeight="1">
      <c r="A203" s="19" t="str">
        <f>IFERROR(__xludf.DUMMYFUNCTION("""COMPUTED_VALUE"""),"AB_2778")</f>
        <v>AB_2778</v>
      </c>
      <c r="B203" s="19" t="str">
        <f>IFERROR(__xludf.DUMMYFUNCTION("""COMPUTED_VALUE"""),"AB_2778_C")</f>
        <v>AB_2778_C</v>
      </c>
      <c r="C203" s="19" t="str">
        <f>IFERROR(__xludf.DUMMYFUNCTION("""COMPUTED_VALUE"""),"AY2778")</f>
        <v>AY2778</v>
      </c>
      <c r="D203" s="19" t="str">
        <f>IFERROR(__xludf.DUMMYFUNCTION("""COMPUTED_VALUE"""),"Melinka")</f>
        <v>Melinka</v>
      </c>
      <c r="E203" s="19" t="str">
        <f>IFERROR(__xludf.DUMMYFUNCTION("""COMPUTED_VALUE"""),"SITIO ASIGNADO")</f>
        <v>SITIO ASIGNADO</v>
      </c>
      <c r="F203" s="19" t="str">
        <f>IFERROR(__xludf.DUMMYFUNCTION("""COMPUTED_VALUE"""),"VISITA")</f>
        <v>VISITA</v>
      </c>
      <c r="G203" s="19" t="str">
        <f>IFERROR(__xludf.DUMMYFUNCTION("""COMPUTED_VALUE"""),"CV12 (E)")</f>
        <v>CV12 (E)</v>
      </c>
      <c r="H203" s="19" t="str">
        <f>IFERROR(__xludf.DUMMYFUNCTION("""COMPUTED_VALUE"""),"DEPROMET")</f>
        <v>DEPROMET</v>
      </c>
      <c r="I203" s="19" t="str">
        <f>IFERROR(__xludf.DUMMYFUNCTION("""COMPUTED_VALUE"""),"Asignada")</f>
        <v>Asignada</v>
      </c>
      <c r="J203" s="20">
        <f>IFERROR(__xludf.DUMMYFUNCTION("""COMPUTED_VALUE"""),45163.0)</f>
        <v>45163</v>
      </c>
      <c r="K203" s="19" t="str">
        <f>IFERROR(__xludf.DUMMYFUNCTION("""COMPUTED_VALUE"""),"Asignada")</f>
        <v>Asignada</v>
      </c>
      <c r="L203" s="20">
        <f>IFERROR(__xludf.DUMMYFUNCTION("""COMPUTED_VALUE"""),45163.0)</f>
        <v>45163</v>
      </c>
      <c r="M203" s="19" t="str">
        <f>IFERROR(__xludf.DUMMYFUNCTION("""COMPUTED_VALUE"""),"PCM")</f>
        <v>PCM</v>
      </c>
      <c r="N203" s="19" t="str">
        <f>IFERROR(__xludf.DUMMYFUNCTION("""COMPUTED_VALUE"""),"PRIORIDAD 2 Q4 2023 DICIEMBRE")</f>
        <v>PRIORIDAD 2 Q4 2023 DICIEMBRE</v>
      </c>
    </row>
    <row r="204" ht="15.75" customHeight="1">
      <c r="A204" s="19" t="str">
        <f>IFERROR(__xludf.DUMMYFUNCTION("""COMPUTED_VALUE"""),"AB_6581")</f>
        <v>AB_6581</v>
      </c>
      <c r="B204" s="19" t="str">
        <f>IFERROR(__xludf.DUMMYFUNCTION("""COMPUTED_VALUE"""),"AB_6581_A")</f>
        <v>AB_6581_A</v>
      </c>
      <c r="C204" s="19" t="str">
        <f>IFERROR(__xludf.DUMMYFUNCTION("""COMPUTED_VALUE"""),"AY6581")</f>
        <v>AY6581</v>
      </c>
      <c r="D204" s="19" t="str">
        <f>IFERROR(__xludf.DUMMYFUNCTION("""COMPUTED_VALUE"""),"Tortel")</f>
        <v>Tortel</v>
      </c>
      <c r="E204" s="19" t="str">
        <f>IFERROR(__xludf.DUMMYFUNCTION("""COMPUTED_VALUE"""),"DETENIDO PERTINENCIA")</f>
        <v>DETENIDO PERTINENCIA</v>
      </c>
      <c r="F204" s="19"/>
      <c r="G204" s="19" t="str">
        <f>IFERROR(__xludf.DUMMYFUNCTION("""COMPUTED_VALUE"""),"CV42")</f>
        <v>CV42</v>
      </c>
      <c r="H204" s="19" t="str">
        <f>IFERROR(__xludf.DUMMYFUNCTION("""COMPUTED_VALUE"""),"INCOSERV")</f>
        <v>INCOSERV</v>
      </c>
      <c r="I204" s="19" t="str">
        <f>IFERROR(__xludf.DUMMYFUNCTION("""COMPUTED_VALUE"""),"Terminada")</f>
        <v>Terminada</v>
      </c>
      <c r="J204" s="20">
        <f>IFERROR(__xludf.DUMMYFUNCTION("""COMPUTED_VALUE"""),45034.0)</f>
        <v>45034</v>
      </c>
      <c r="K204" s="19" t="str">
        <f>IFERROR(__xludf.DUMMYFUNCTION("""COMPUTED_VALUE"""),"Por pintar ")</f>
        <v>Por pintar </v>
      </c>
      <c r="L204" s="20">
        <f>IFERROR(__xludf.DUMMYFUNCTION("""COMPUTED_VALUE"""),45100.0)</f>
        <v>45100</v>
      </c>
      <c r="M204" s="19" t="str">
        <f>IFERROR(__xludf.DUMMYFUNCTION("""COMPUTED_VALUE"""),"PCM")</f>
        <v>PCM</v>
      </c>
      <c r="N204" s="19" t="str">
        <f>IFERROR(__xludf.DUMMYFUNCTION("""COMPUTED_VALUE"""),"PRIORIDAD 2 Q4 2023 DICIEMBRE")</f>
        <v>PRIORIDAD 2 Q4 2023 DICIEMBRE</v>
      </c>
    </row>
    <row r="205" ht="15.75" customHeight="1">
      <c r="A205" s="19" t="str">
        <f>IFERROR(__xludf.DUMMYFUNCTION("""COMPUTED_VALUE"""),"AB_6583")</f>
        <v>AB_6583</v>
      </c>
      <c r="B205" s="19" t="str">
        <f>IFERROR(__xludf.DUMMYFUNCTION("""COMPUTED_VALUE"""),"AB_6583_E")</f>
        <v>AB_6583_E</v>
      </c>
      <c r="C205" s="19" t="str">
        <f>IFERROR(__xludf.DUMMYFUNCTION("""COMPUTED_VALUE"""),"AY6583")</f>
        <v>AY6583</v>
      </c>
      <c r="D205" s="19" t="str">
        <f>IFERROR(__xludf.DUMMYFUNCTION("""COMPUTED_VALUE"""),"Cochrane")</f>
        <v>Cochrane</v>
      </c>
      <c r="E205" s="19" t="str">
        <f>IFERROR(__xludf.DUMMYFUNCTION("""COMPUTED_VALUE"""),"EN VALIDACION COMPRAS")</f>
        <v>EN VALIDACION COMPRAS</v>
      </c>
      <c r="F205" s="19" t="str">
        <f>IFERROR(__xludf.DUMMYFUNCTION("""COMPUTED_VALUE"""),"PENDIENTE VALIDACION")</f>
        <v>PENDIENTE VALIDACION</v>
      </c>
      <c r="G205" s="19" t="str">
        <f>IFERROR(__xludf.DUMMYFUNCTION("""COMPUTED_VALUE"""),"CV60")</f>
        <v>CV60</v>
      </c>
      <c r="H205" s="19" t="str">
        <f>IFERROR(__xludf.DUMMYFUNCTION("""COMPUTED_VALUE"""),"DEPROMET")</f>
        <v>DEPROMET</v>
      </c>
      <c r="I205" s="19" t="str">
        <f>IFERROR(__xludf.DUMMYFUNCTION("""COMPUTED_VALUE"""),"Terminada")</f>
        <v>Terminada</v>
      </c>
      <c r="J205" s="20">
        <f>IFERROR(__xludf.DUMMYFUNCTION("""COMPUTED_VALUE"""),45001.0)</f>
        <v>45001</v>
      </c>
      <c r="K205" s="19" t="str">
        <f>IFERROR(__xludf.DUMMYFUNCTION("""COMPUTED_VALUE"""),"Por pintar ")</f>
        <v>Por pintar </v>
      </c>
      <c r="L205" s="20">
        <f>IFERROR(__xludf.DUMMYFUNCTION("""COMPUTED_VALUE"""),45051.0)</f>
        <v>45051</v>
      </c>
      <c r="M205" s="19" t="str">
        <f>IFERROR(__xludf.DUMMYFUNCTION("""COMPUTED_VALUE"""),"PCM")</f>
        <v>PCM</v>
      </c>
      <c r="N205" s="19" t="str">
        <f>IFERROR(__xludf.DUMMYFUNCTION("""COMPUTED_VALUE"""),"PRIORIDAD 1 Q3 2023 OCTUBRE")</f>
        <v>PRIORIDAD 1 Q3 2023 OCTUBRE</v>
      </c>
    </row>
    <row r="206" ht="15.75" customHeight="1">
      <c r="A206" s="19" t="str">
        <f>IFERROR(__xludf.DUMMYFUNCTION("""COMPUTED_VALUE"""),"AB_6590")</f>
        <v>AB_6590</v>
      </c>
      <c r="B206" s="19" t="str">
        <f>IFERROR(__xludf.DUMMYFUNCTION("""COMPUTED_VALUE"""),"AB_6590_B")</f>
        <v>AB_6590_B</v>
      </c>
      <c r="C206" s="19" t="str">
        <f>IFERROR(__xludf.DUMMYFUNCTION("""COMPUTED_VALUE"""),"AY6590")</f>
        <v>AY6590</v>
      </c>
      <c r="D206" s="19" t="str">
        <f>IFERROR(__xludf.DUMMYFUNCTION("""COMPUTED_VALUE"""),"Villa O'Higgins")</f>
        <v>Villa O'Higgins</v>
      </c>
      <c r="E206" s="19" t="str">
        <f>IFERROR(__xludf.DUMMYFUNCTION("""COMPUTED_VALUE"""),"SITIO ASIGNADO")</f>
        <v>SITIO ASIGNADO</v>
      </c>
      <c r="F206" s="19"/>
      <c r="G206" s="19" t="str">
        <f>IFERROR(__xludf.DUMMYFUNCTION("""COMPUTED_VALUE"""),"AS48 (H)")</f>
        <v>AS48 (H)</v>
      </c>
      <c r="H206" s="19" t="str">
        <f>IFERROR(__xludf.DUMMYFUNCTION("""COMPUTED_VALUE"""),"JTI")</f>
        <v>JTI</v>
      </c>
      <c r="I206" s="19" t="str">
        <f>IFERROR(__xludf.DUMMYFUNCTION("""COMPUTED_VALUE"""),"Entregada")</f>
        <v>Entregada</v>
      </c>
      <c r="J206" s="20">
        <f>IFERROR(__xludf.DUMMYFUNCTION("""COMPUTED_VALUE"""),44670.0)</f>
        <v>44670</v>
      </c>
      <c r="K206" s="19" t="str">
        <f>IFERROR(__xludf.DUMMYFUNCTION("""COMPUTED_VALUE"""),"Entregada")</f>
        <v>Entregada</v>
      </c>
      <c r="L206" s="20">
        <f>IFERROR(__xludf.DUMMYFUNCTION("""COMPUTED_VALUE"""),44729.0)</f>
        <v>44729</v>
      </c>
      <c r="M206" s="19" t="str">
        <f>IFERROR(__xludf.DUMMYFUNCTION("""COMPUTED_VALUE"""),"PCM")</f>
        <v>PCM</v>
      </c>
      <c r="N206" s="19" t="str">
        <f>IFERROR(__xludf.DUMMYFUNCTION("""COMPUTED_VALUE"""),"PRIORIDAD 1 Q3 2023 OCTUBRE")</f>
        <v>PRIORIDAD 1 Q3 2023 OCTUBRE</v>
      </c>
    </row>
    <row r="207" ht="15.75" customHeight="1">
      <c r="A207" s="19" t="str">
        <f>IFERROR(__xludf.DUMMYFUNCTION("""COMPUTED_VALUE"""),"AB_9441")</f>
        <v>AB_9441</v>
      </c>
      <c r="B207" s="19" t="str">
        <f>IFERROR(__xludf.DUMMYFUNCTION("""COMPUTED_VALUE"""),"AB_9441_D")</f>
        <v>AB_9441_D</v>
      </c>
      <c r="C207" s="19" t="str">
        <f>IFERROR(__xludf.DUMMYFUNCTION("""COMPUTED_VALUE"""),"AY9441")</f>
        <v>AY9441</v>
      </c>
      <c r="D207" s="19" t="str">
        <f>IFERROR(__xludf.DUMMYFUNCTION("""COMPUTED_VALUE"""),"La Tapera")</f>
        <v>La Tapera</v>
      </c>
      <c r="E207" s="19" t="str">
        <f>IFERROR(__xludf.DUMMYFUNCTION("""COMPUTED_VALUE"""),"SITIO RFI")</f>
        <v>SITIO RFI</v>
      </c>
      <c r="F207" s="19" t="str">
        <f>IFERROR(__xludf.DUMMYFUNCTION("""COMPUTED_VALUE"""),"RFI")</f>
        <v>RFI</v>
      </c>
      <c r="G207" s="19" t="str">
        <f>IFERROR(__xludf.DUMMYFUNCTION("""COMPUTED_VALUE"""),"MP18")</f>
        <v>MP18</v>
      </c>
      <c r="H207" s="19" t="str">
        <f>IFERROR(__xludf.DUMMYFUNCTION("""COMPUTED_VALUE"""),"MER")</f>
        <v>MER</v>
      </c>
      <c r="I207" s="19" t="str">
        <f>IFERROR(__xludf.DUMMYFUNCTION("""COMPUTED_VALUE"""),"Entregada")</f>
        <v>Entregada</v>
      </c>
      <c r="J207" s="20">
        <f>IFERROR(__xludf.DUMMYFUNCTION("""COMPUTED_VALUE"""),44697.0)</f>
        <v>44697</v>
      </c>
      <c r="K207" s="19" t="str">
        <f>IFERROR(__xludf.DUMMYFUNCTION("""COMPUTED_VALUE"""),"Entregada")</f>
        <v>Entregada</v>
      </c>
      <c r="L207" s="20">
        <f>IFERROR(__xludf.DUMMYFUNCTION("""COMPUTED_VALUE"""),44701.0)</f>
        <v>44701</v>
      </c>
      <c r="M207" s="19" t="str">
        <f>IFERROR(__xludf.DUMMYFUNCTION("""COMPUTED_VALUE"""),"PCM")</f>
        <v>PCM</v>
      </c>
      <c r="N207" s="19" t="str">
        <f>IFERROR(__xludf.DUMMYFUNCTION("""COMPUTED_VALUE"""),"PRIORIDAD 1 Q3 2023 OCTUBRE")</f>
        <v>PRIORIDAD 1 Q3 2023 OCTUBRE</v>
      </c>
    </row>
    <row r="208" ht="15.75" customHeight="1">
      <c r="A208" s="19" t="str">
        <f>IFERROR(__xludf.DUMMYFUNCTION("""COMPUTED_VALUE"""),"AB_9443")</f>
        <v>AB_9443</v>
      </c>
      <c r="B208" s="19" t="str">
        <f>IFERROR(__xludf.DUMMYFUNCTION("""COMPUTED_VALUE"""),"AB_9443_C")</f>
        <v>AB_9443_C</v>
      </c>
      <c r="C208" s="19" t="str">
        <f>IFERROR(__xludf.DUMMYFUNCTION("""COMPUTED_VALUE"""),"AY9443")</f>
        <v>AY9443</v>
      </c>
      <c r="D208" s="19" t="str">
        <f>IFERROR(__xludf.DUMMYFUNCTION("""COMPUTED_VALUE"""),"Ruta X-50 Santa Rosa")</f>
        <v>Ruta X-50 Santa Rosa</v>
      </c>
      <c r="E208" s="19" t="str">
        <f>IFERROR(__xludf.DUMMYFUNCTION("""COMPUTED_VALUE"""),"DETENIDO CLIMA")</f>
        <v>DETENIDO CLIMA</v>
      </c>
      <c r="F208" s="19" t="str">
        <f>IFERROR(__xludf.DUMMYFUNCTION("""COMPUTED_VALUE"""),"VISITA")</f>
        <v>VISITA</v>
      </c>
      <c r="G208" s="19" t="str">
        <f>IFERROR(__xludf.DUMMYFUNCTION("""COMPUTED_VALUE"""),"CV48")</f>
        <v>CV48</v>
      </c>
      <c r="H208" s="19" t="str">
        <f>IFERROR(__xludf.DUMMYFUNCTION("""COMPUTED_VALUE"""),"MER")</f>
        <v>MER</v>
      </c>
      <c r="I208" s="19" t="str">
        <f>IFERROR(__xludf.DUMMYFUNCTION("""COMPUTED_VALUE"""),"Terminada")</f>
        <v>Terminada</v>
      </c>
      <c r="J208" s="20">
        <f>IFERROR(__xludf.DUMMYFUNCTION("""COMPUTED_VALUE"""),45051.0)</f>
        <v>45051</v>
      </c>
      <c r="K208" s="19" t="str">
        <f>IFERROR(__xludf.DUMMYFUNCTION("""COMPUTED_VALUE"""),"Por pintar ")</f>
        <v>Por pintar </v>
      </c>
      <c r="L208" s="20">
        <f>IFERROR(__xludf.DUMMYFUNCTION("""COMPUTED_VALUE"""),45054.0)</f>
        <v>45054</v>
      </c>
      <c r="M208" s="19" t="str">
        <f>IFERROR(__xludf.DUMMYFUNCTION("""COMPUTED_VALUE"""),"PP")</f>
        <v>PP</v>
      </c>
      <c r="N208" s="19" t="str">
        <f>IFERROR(__xludf.DUMMYFUNCTION("""COMPUTED_VALUE"""),"PRIORIDAD 1 Q3 2023 OCTUBRE")</f>
        <v>PRIORIDAD 1 Q3 2023 OCTUBRE</v>
      </c>
    </row>
    <row r="209" ht="15.75" customHeight="1">
      <c r="A209" s="19" t="str">
        <f>IFERROR(__xludf.DUMMYFUNCTION("""COMPUTED_VALUE"""),"AB_9444")</f>
        <v>AB_9444</v>
      </c>
      <c r="B209" s="19" t="str">
        <f>IFERROR(__xludf.DUMMYFUNCTION("""COMPUTED_VALUE"""),"AB_9444_E")</f>
        <v>AB_9444_E</v>
      </c>
      <c r="C209" s="19" t="str">
        <f>IFERROR(__xludf.DUMMYFUNCTION("""COMPUTED_VALUE"""),"AY9444")</f>
        <v>AY9444</v>
      </c>
      <c r="D209" s="19" t="str">
        <f>IFERROR(__xludf.DUMMYFUNCTION("""COMPUTED_VALUE"""),"Ruta X-50 Puente Mañihuales")</f>
        <v>Ruta X-50 Puente Mañihuales</v>
      </c>
      <c r="E209" s="19" t="str">
        <f>IFERROR(__xludf.DUMMYFUNCTION("""COMPUTED_VALUE"""),"DETENIDO CLIMA")</f>
        <v>DETENIDO CLIMA</v>
      </c>
      <c r="F209" s="19" t="str">
        <f>IFERROR(__xludf.DUMMYFUNCTION("""COMPUTED_VALUE"""),"VISITA")</f>
        <v>VISITA</v>
      </c>
      <c r="G209" s="19" t="str">
        <f>IFERROR(__xludf.DUMMYFUNCTION("""COMPUTED_VALUE"""),"CV60")</f>
        <v>CV60</v>
      </c>
      <c r="H209" s="19" t="str">
        <f>IFERROR(__xludf.DUMMYFUNCTION("""COMPUTED_VALUE"""),"DEPROMET")</f>
        <v>DEPROMET</v>
      </c>
      <c r="I209" s="19" t="str">
        <f>IFERROR(__xludf.DUMMYFUNCTION("""COMPUTED_VALUE"""),"Entregada")</f>
        <v>Entregada</v>
      </c>
      <c r="J209" s="20">
        <f>IFERROR(__xludf.DUMMYFUNCTION("""COMPUTED_VALUE"""),45001.0)</f>
        <v>45001</v>
      </c>
      <c r="K209" s="19" t="str">
        <f>IFERROR(__xludf.DUMMYFUNCTION("""COMPUTED_VALUE"""),"Terminada")</f>
        <v>Terminada</v>
      </c>
      <c r="L209" s="20">
        <f>IFERROR(__xludf.DUMMYFUNCTION("""COMPUTED_VALUE"""),45001.0)</f>
        <v>45001</v>
      </c>
      <c r="M209" s="19" t="str">
        <f>IFERROR(__xludf.DUMMYFUNCTION("""COMPUTED_VALUE"""),"PP")</f>
        <v>PP</v>
      </c>
      <c r="N209" s="19" t="str">
        <f>IFERROR(__xludf.DUMMYFUNCTION("""COMPUTED_VALUE"""),"PRIORIDAD 1 Q3 2023 OCTUBRE")</f>
        <v>PRIORIDAD 1 Q3 2023 OCTUBRE</v>
      </c>
    </row>
    <row r="210" ht="15.75" customHeight="1">
      <c r="A210" s="19" t="str">
        <f>IFERROR(__xludf.DUMMYFUNCTION("""COMPUTED_VALUE"""),"AB_9445")</f>
        <v>AB_9445</v>
      </c>
      <c r="B210" s="19" t="str">
        <f>IFERROR(__xludf.DUMMYFUNCTION("""COMPUTED_VALUE"""),"AB_9445_E")</f>
        <v>AB_9445_E</v>
      </c>
      <c r="C210" s="19" t="str">
        <f>IFERROR(__xludf.DUMMYFUNCTION("""COMPUTED_VALUE"""),"AY9445")</f>
        <v>AY9445</v>
      </c>
      <c r="D210" s="19" t="str">
        <f>IFERROR(__xludf.DUMMYFUNCTION("""COMPUTED_VALUE"""),"Ruta X-50 Valle Mañihuales")</f>
        <v>Ruta X-50 Valle Mañihuales</v>
      </c>
      <c r="E210" s="19" t="str">
        <f>IFERROR(__xludf.DUMMYFUNCTION("""COMPUTED_VALUE"""),"SITIO EN CONSTRUCCION")</f>
        <v>SITIO EN CONSTRUCCION</v>
      </c>
      <c r="F210" s="19" t="str">
        <f>IFERROR(__xludf.DUMMYFUNCTION("""COMPUTED_VALUE"""),"ENFIERRADURA")</f>
        <v>ENFIERRADURA</v>
      </c>
      <c r="G210" s="19" t="str">
        <f>IFERROR(__xludf.DUMMYFUNCTION("""COMPUTED_VALUE"""),"CV60")</f>
        <v>CV60</v>
      </c>
      <c r="H210" s="19" t="str">
        <f>IFERROR(__xludf.DUMMYFUNCTION("""COMPUTED_VALUE"""),"DEPROMET")</f>
        <v>DEPROMET</v>
      </c>
      <c r="I210" s="19" t="str">
        <f>IFERROR(__xludf.DUMMYFUNCTION("""COMPUTED_VALUE"""),"Entregada")</f>
        <v>Entregada</v>
      </c>
      <c r="J210" s="20">
        <f>IFERROR(__xludf.DUMMYFUNCTION("""COMPUTED_VALUE"""),45001.0)</f>
        <v>45001</v>
      </c>
      <c r="K210" s="19" t="str">
        <f>IFERROR(__xludf.DUMMYFUNCTION("""COMPUTED_VALUE"""),"Entregada")</f>
        <v>Entregada</v>
      </c>
      <c r="L210" s="20">
        <f>IFERROR(__xludf.DUMMYFUNCTION("""COMPUTED_VALUE"""),45051.0)</f>
        <v>45051</v>
      </c>
      <c r="M210" s="19" t="str">
        <f>IFERROR(__xludf.DUMMYFUNCTION("""COMPUTED_VALUE"""),"PP")</f>
        <v>PP</v>
      </c>
      <c r="N210" s="19" t="str">
        <f>IFERROR(__xludf.DUMMYFUNCTION("""COMPUTED_VALUE"""),"PRIORIDAD 1 Q3 2023 OCTUBRE")</f>
        <v>PRIORIDAD 1 Q3 2023 OCTUBRE</v>
      </c>
    </row>
    <row r="211" ht="15.75" customHeight="1">
      <c r="A211" s="19" t="str">
        <f>IFERROR(__xludf.DUMMYFUNCTION("""COMPUTED_VALUE"""),"AB_9848")</f>
        <v>AB_9848</v>
      </c>
      <c r="B211" s="19" t="str">
        <f>IFERROR(__xludf.DUMMYFUNCTION("""COMPUTED_VALUE"""),"AB_9848_C")</f>
        <v>AB_9848_C</v>
      </c>
      <c r="C211" s="19" t="str">
        <f>IFERROR(__xludf.DUMMYFUNCTION("""COMPUTED_VALUE"""),"AY9848")</f>
        <v>AY9848</v>
      </c>
      <c r="D211" s="19" t="str">
        <f>IFERROR(__xludf.DUMMYFUNCTION("""COMPUTED_VALUE"""),"Villa Cerro Castillo-Ruta 7")</f>
        <v>Villa Cerro Castillo-Ruta 7</v>
      </c>
      <c r="E211" s="19" t="str">
        <f>IFERROR(__xludf.DUMMYFUNCTION("""COMPUTED_VALUE"""),"SITIO RFI")</f>
        <v>SITIO RFI</v>
      </c>
      <c r="F211" s="19" t="str">
        <f>IFERROR(__xludf.DUMMYFUNCTION("""COMPUTED_VALUE"""),"RFI")</f>
        <v>RFI</v>
      </c>
      <c r="G211" s="19" t="str">
        <f>IFERROR(__xludf.DUMMYFUNCTION("""COMPUTED_VALUE"""),"AS60 (H)")</f>
        <v>AS60 (H)</v>
      </c>
      <c r="H211" s="19" t="str">
        <f>IFERROR(__xludf.DUMMYFUNCTION("""COMPUTED_VALUE"""),"JTI")</f>
        <v>JTI</v>
      </c>
      <c r="I211" s="19" t="str">
        <f>IFERROR(__xludf.DUMMYFUNCTION("""COMPUTED_VALUE"""),"Entregada")</f>
        <v>Entregada</v>
      </c>
      <c r="J211" s="20">
        <f>IFERROR(__xludf.DUMMYFUNCTION("""COMPUTED_VALUE"""),44683.0)</f>
        <v>44683</v>
      </c>
      <c r="K211" s="19" t="str">
        <f>IFERROR(__xludf.DUMMYFUNCTION("""COMPUTED_VALUE"""),"Entregada")</f>
        <v>Entregada</v>
      </c>
      <c r="L211" s="20">
        <f>IFERROR(__xludf.DUMMYFUNCTION("""COMPUTED_VALUE"""),44708.0)</f>
        <v>44708</v>
      </c>
      <c r="M211" s="19" t="str">
        <f>IFERROR(__xludf.DUMMYFUNCTION("""COMPUTED_VALUE"""),"PCM")</f>
        <v>PCM</v>
      </c>
      <c r="N211" s="19" t="str">
        <f>IFERROR(__xludf.DUMMYFUNCTION("""COMPUTED_VALUE"""),"PRIORIDAD 1 Q3 2023 OCTUBRE")</f>
        <v>PRIORIDAD 1 Q3 2023 OCTUBRE</v>
      </c>
    </row>
    <row r="212" ht="15.75" customHeight="1">
      <c r="A212" s="19" t="str">
        <f>IFERROR(__xludf.DUMMYFUNCTION("""COMPUTED_VALUE"""),"AB_9858")</f>
        <v>AB_9858</v>
      </c>
      <c r="B212" s="19" t="str">
        <f>IFERROR(__xludf.DUMMYFUNCTION("""COMPUTED_VALUE"""),"AB_9858_B")</f>
        <v>AB_9858_B</v>
      </c>
      <c r="C212" s="19" t="str">
        <f>IFERROR(__xludf.DUMMYFUNCTION("""COMPUTED_VALUE"""),"AY9858")</f>
        <v>AY9858</v>
      </c>
      <c r="D212" s="19" t="str">
        <f>IFERROR(__xludf.DUMMYFUNCTION("""COMPUTED_VALUE"""),"LLOO Isla Queitao")</f>
        <v>LLOO Isla Queitao</v>
      </c>
      <c r="E212" s="19" t="str">
        <f>IFERROR(__xludf.DUMMYFUNCTION("""COMPUTED_VALUE"""),"SITIO ASIGNADO")</f>
        <v>SITIO ASIGNADO</v>
      </c>
      <c r="F212" s="19"/>
      <c r="G212" s="19" t="str">
        <f>IFERROR(__xludf.DUMMYFUNCTION("""COMPUTED_VALUE"""),"CV60")</f>
        <v>CV60</v>
      </c>
      <c r="H212" s="19" t="str">
        <f>IFERROR(__xludf.DUMMYFUNCTION("""COMPUTED_VALUE"""),"DEPROMET")</f>
        <v>DEPROMET</v>
      </c>
      <c r="I212" s="19" t="str">
        <f>IFERROR(__xludf.DUMMYFUNCTION("""COMPUTED_VALUE"""),"Terminada")</f>
        <v>Terminada</v>
      </c>
      <c r="J212" s="20">
        <f>IFERROR(__xludf.DUMMYFUNCTION("""COMPUTED_VALUE"""),45001.0)</f>
        <v>45001</v>
      </c>
      <c r="K212" s="19" t="str">
        <f>IFERROR(__xludf.DUMMYFUNCTION("""COMPUTED_VALUE"""),"Terminada")</f>
        <v>Terminada</v>
      </c>
      <c r="L212" s="20">
        <f>IFERROR(__xludf.DUMMYFUNCTION("""COMPUTED_VALUE"""),45001.0)</f>
        <v>45001</v>
      </c>
      <c r="M212" s="19" t="str">
        <f>IFERROR(__xludf.DUMMYFUNCTION("""COMPUTED_VALUE"""),"LLOO")</f>
        <v>LLOO</v>
      </c>
      <c r="N212" s="19" t="str">
        <f>IFERROR(__xludf.DUMMYFUNCTION("""COMPUTED_VALUE"""),"PRIORIDAD 2 Q4 2023 DICIEMBRE")</f>
        <v>PRIORIDAD 2 Q4 2023 DICIEMBRE</v>
      </c>
    </row>
    <row r="213" ht="15.75" customHeight="1">
      <c r="A213" s="19" t="str">
        <f>IFERROR(__xludf.DUMMYFUNCTION("""COMPUTED_VALUE"""),"AB_5759")</f>
        <v>AB_5759</v>
      </c>
      <c r="B213" s="19" t="str">
        <f>IFERROR(__xludf.DUMMYFUNCTION("""COMPUTED_VALUE"""),"AB_5759_D")</f>
        <v>AB_5759_D</v>
      </c>
      <c r="C213" s="19" t="str">
        <f>IFERROR(__xludf.DUMMYFUNCTION("""COMPUTED_VALUE"""),"AR5759")</f>
        <v>AR5759</v>
      </c>
      <c r="D213" s="19" t="str">
        <f>IFERROR(__xludf.DUMMYFUNCTION("""COMPUTED_VALUE"""),"El Naranjo")</f>
        <v>El Naranjo</v>
      </c>
      <c r="E213" s="19" t="str">
        <f>IFERROR(__xludf.DUMMYFUNCTION("""COMPUTED_VALUE"""),"SITIO CONSTRUIDO")</f>
        <v>SITIO CONSTRUIDO</v>
      </c>
      <c r="F213" s="19" t="str">
        <f>IFERROR(__xludf.DUMMYFUNCTION("""COMPUTED_VALUE"""),"ENFIERRADURA")</f>
        <v>ENFIERRADURA</v>
      </c>
      <c r="G213" s="19" t="str">
        <f>IFERROR(__xludf.DUMMYFUNCTION("""COMPUTED_VALUE"""),"CV60")</f>
        <v>CV60</v>
      </c>
      <c r="H213" s="19" t="str">
        <f>IFERROR(__xludf.DUMMYFUNCTION("""COMPUTED_VALUE"""),"DEPROMET")</f>
        <v>DEPROMET</v>
      </c>
      <c r="I213" s="19" t="str">
        <f>IFERROR(__xludf.DUMMYFUNCTION("""COMPUTED_VALUE"""),"Terminada")</f>
        <v>Terminada</v>
      </c>
      <c r="J213" s="20">
        <f>IFERROR(__xludf.DUMMYFUNCTION("""COMPUTED_VALUE"""),44893.0)</f>
        <v>44893</v>
      </c>
      <c r="K213" s="19" t="str">
        <f>IFERROR(__xludf.DUMMYFUNCTION("""COMPUTED_VALUE"""),"Terminada")</f>
        <v>Terminada</v>
      </c>
      <c r="L213" s="20">
        <f>IFERROR(__xludf.DUMMYFUNCTION("""COMPUTED_VALUE"""),44911.0)</f>
        <v>44911</v>
      </c>
      <c r="M213" s="19" t="str">
        <f>IFERROR(__xludf.DUMMYFUNCTION("""COMPUTED_VALUE"""),"PCM")</f>
        <v>PCM</v>
      </c>
      <c r="N213" s="19" t="str">
        <f>IFERROR(__xludf.DUMMYFUNCTION("""COMPUTED_VALUE"""),"PRIORIDAD 1 Q3 2023 OCTUBRE")</f>
        <v>PRIORIDAD 1 Q3 2023 OCTUBRE</v>
      </c>
    </row>
    <row r="214" ht="15.75" customHeight="1">
      <c r="A214" s="19" t="str">
        <f>IFERROR(__xludf.DUMMYFUNCTION("""COMPUTED_VALUE"""),"AB_9885")</f>
        <v>AB_9885</v>
      </c>
      <c r="B214" s="19" t="str">
        <f>IFERROR(__xludf.DUMMYFUNCTION("""COMPUTED_VALUE"""),"AB_9885_B")</f>
        <v>AB_9885_B</v>
      </c>
      <c r="C214" s="19" t="str">
        <f>IFERROR(__xludf.DUMMYFUNCTION("""COMPUTED_VALUE"""),"AY9885")</f>
        <v>AY9885</v>
      </c>
      <c r="D214" s="19" t="str">
        <f>IFERROR(__xludf.DUMMYFUNCTION("""COMPUTED_VALUE"""),"LLOO Candelario Mancilla")</f>
        <v>LLOO Candelario Mancilla</v>
      </c>
      <c r="E214" s="19" t="str">
        <f>IFERROR(__xludf.DUMMYFUNCTION("""COMPUTED_VALUE"""),"SITIO ASIGNADO")</f>
        <v>SITIO ASIGNADO</v>
      </c>
      <c r="F214" s="19"/>
      <c r="G214" s="19" t="str">
        <f>IFERROR(__xludf.DUMMYFUNCTION("""COMPUTED_VALUE"""),"CV60")</f>
        <v>CV60</v>
      </c>
      <c r="H214" s="19" t="str">
        <f>IFERROR(__xludf.DUMMYFUNCTION("""COMPUTED_VALUE"""),"DEPROMET")</f>
        <v>DEPROMET</v>
      </c>
      <c r="I214" s="19" t="str">
        <f>IFERROR(__xludf.DUMMYFUNCTION("""COMPUTED_VALUE"""),"Terminada")</f>
        <v>Terminada</v>
      </c>
      <c r="J214" s="20">
        <f>IFERROR(__xludf.DUMMYFUNCTION("""COMPUTED_VALUE"""),45001.0)</f>
        <v>45001</v>
      </c>
      <c r="K214" s="19" t="str">
        <f>IFERROR(__xludf.DUMMYFUNCTION("""COMPUTED_VALUE"""),"Terminada")</f>
        <v>Terminada</v>
      </c>
      <c r="L214" s="20">
        <f>IFERROR(__xludf.DUMMYFUNCTION("""COMPUTED_VALUE"""),45014.0)</f>
        <v>45014</v>
      </c>
      <c r="M214" s="19" t="str">
        <f>IFERROR(__xludf.DUMMYFUNCTION("""COMPUTED_VALUE"""),"LLOO")</f>
        <v>LLOO</v>
      </c>
      <c r="N214" s="19" t="str">
        <f>IFERROR(__xludf.DUMMYFUNCTION("""COMPUTED_VALUE"""),"PRIORIDAD 1 Q3 2023 OCTUBRE")</f>
        <v>PRIORIDAD 1 Q3 2023 OCTUBRE</v>
      </c>
    </row>
    <row r="215" ht="15.75" customHeight="1">
      <c r="A215" s="19" t="str">
        <f>IFERROR(__xludf.DUMMYFUNCTION("""COMPUTED_VALUE"""),"AB_9893")</f>
        <v>AB_9893</v>
      </c>
      <c r="B215" s="19" t="str">
        <f>IFERROR(__xludf.DUMMYFUNCTION("""COMPUTED_VALUE"""),"AB_9893_E")</f>
        <v>AB_9893_E</v>
      </c>
      <c r="C215" s="19" t="str">
        <f>IFERROR(__xludf.DUMMYFUNCTION("""COMPUTED_VALUE"""),"AY9893")</f>
        <v>AY9893</v>
      </c>
      <c r="D215" s="19" t="str">
        <f>IFERROR(__xludf.DUMMYFUNCTION("""COMPUTED_VALUE"""),"LLOO Las Chacras")</f>
        <v>LLOO Las Chacras</v>
      </c>
      <c r="E215" s="19" t="str">
        <f>IFERROR(__xludf.DUMMYFUNCTION("""COMPUTED_VALUE"""),"SITIO RFI")</f>
        <v>SITIO RFI</v>
      </c>
      <c r="F215" s="19" t="str">
        <f>IFERROR(__xludf.DUMMYFUNCTION("""COMPUTED_VALUE"""),"RFI")</f>
        <v>RFI</v>
      </c>
      <c r="G215" s="19" t="str">
        <f>IFERROR(__xludf.DUMMYFUNCTION("""COMPUTED_VALUE"""),"CV48")</f>
        <v>CV48</v>
      </c>
      <c r="H215" s="19" t="str">
        <f>IFERROR(__xludf.DUMMYFUNCTION("""COMPUTED_VALUE"""),"ADM")</f>
        <v>ADM</v>
      </c>
      <c r="I215" s="19" t="str">
        <f>IFERROR(__xludf.DUMMYFUNCTION("""COMPUTED_VALUE"""),"Entregada")</f>
        <v>Entregada</v>
      </c>
      <c r="J215" s="20">
        <f>IFERROR(__xludf.DUMMYFUNCTION("""COMPUTED_VALUE"""),44736.0)</f>
        <v>44736</v>
      </c>
      <c r="K215" s="19" t="str">
        <f>IFERROR(__xludf.DUMMYFUNCTION("""COMPUTED_VALUE"""),"Entregada")</f>
        <v>Entregada</v>
      </c>
      <c r="L215" s="20">
        <f>IFERROR(__xludf.DUMMYFUNCTION("""COMPUTED_VALUE"""),44834.0)</f>
        <v>44834</v>
      </c>
      <c r="M215" s="19" t="str">
        <f>IFERROR(__xludf.DUMMYFUNCTION("""COMPUTED_VALUE"""),"PCM")</f>
        <v>PCM</v>
      </c>
      <c r="N215" s="19" t="str">
        <f>IFERROR(__xludf.DUMMYFUNCTION("""COMPUTED_VALUE"""),"PRIORIDAD 1 Q3 2023 OCTUBRE")</f>
        <v>PRIORIDAD 1 Q3 2023 OCTUBRE</v>
      </c>
    </row>
    <row r="216" ht="15.75" customHeight="1">
      <c r="A216" s="19" t="str">
        <f>IFERROR(__xludf.DUMMYFUNCTION("""COMPUTED_VALUE"""),"AB_9840")</f>
        <v>AB_9840</v>
      </c>
      <c r="B216" s="19" t="str">
        <f>IFERROR(__xludf.DUMMYFUNCTION("""COMPUTED_VALUE"""),"AB_9840_E")</f>
        <v>AB_9840_E</v>
      </c>
      <c r="C216" s="19" t="str">
        <f>IFERROR(__xludf.DUMMYFUNCTION("""COMPUTED_VALUE"""),"AR9840")</f>
        <v>AR9840</v>
      </c>
      <c r="D216" s="19" t="str">
        <f>IFERROR(__xludf.DUMMYFUNCTION("""COMPUTED_VALUE"""),"Huife")</f>
        <v>Huife</v>
      </c>
      <c r="E216" s="19" t="str">
        <f>IFERROR(__xludf.DUMMYFUNCTION("""COMPUTED_VALUE"""),"SITIO RFI")</f>
        <v>SITIO RFI</v>
      </c>
      <c r="F216" s="19" t="str">
        <f>IFERROR(__xludf.DUMMYFUNCTION("""COMPUTED_VALUE"""),"MONTAJE")</f>
        <v>MONTAJE</v>
      </c>
      <c r="G216" s="19" t="str">
        <f>IFERROR(__xludf.DUMMYFUNCTION("""COMPUTED_VALUE"""),"CV60 (H)")</f>
        <v>CV60 (H)</v>
      </c>
      <c r="H216" s="19" t="str">
        <f>IFERROR(__xludf.DUMMYFUNCTION("""COMPUTED_VALUE"""),"AJ")</f>
        <v>AJ</v>
      </c>
      <c r="I216" s="19" t="str">
        <f>IFERROR(__xludf.DUMMYFUNCTION("""COMPUTED_VALUE"""),"Entregada")</f>
        <v>Entregada</v>
      </c>
      <c r="J216" s="20">
        <f>IFERROR(__xludf.DUMMYFUNCTION("""COMPUTED_VALUE"""),44883.0)</f>
        <v>44883</v>
      </c>
      <c r="K216" s="19" t="str">
        <f>IFERROR(__xludf.DUMMYFUNCTION("""COMPUTED_VALUE"""),"Entregada")</f>
        <v>Entregada</v>
      </c>
      <c r="L216" s="20">
        <f>IFERROR(__xludf.DUMMYFUNCTION("""COMPUTED_VALUE"""),44883.0)</f>
        <v>44883</v>
      </c>
      <c r="M216" s="19" t="str">
        <f>IFERROR(__xludf.DUMMYFUNCTION("""COMPUTED_VALUE"""),"LLOO")</f>
        <v>LLOO</v>
      </c>
      <c r="N216" s="19" t="str">
        <f>IFERROR(__xludf.DUMMYFUNCTION("""COMPUTED_VALUE"""),"PRIORIDAD 1 Q3 2023 OCTUBRE")</f>
        <v>PRIORIDAD 1 Q3 2023 OCTUBRE</v>
      </c>
    </row>
    <row r="217" ht="15.75" customHeight="1">
      <c r="A217" s="19" t="str">
        <f>IFERROR(__xludf.DUMMYFUNCTION("""COMPUTED_VALUE"""),"AB_9895")</f>
        <v>AB_9895</v>
      </c>
      <c r="B217" s="19" t="str">
        <f>IFERROR(__xludf.DUMMYFUNCTION("""COMPUTED_VALUE"""),"AB_9895_C")</f>
        <v>AB_9895_C</v>
      </c>
      <c r="C217" s="19" t="str">
        <f>IFERROR(__xludf.DUMMYFUNCTION("""COMPUTED_VALUE"""),"AY9895")</f>
        <v>AY9895</v>
      </c>
      <c r="D217" s="19" t="str">
        <f>IFERROR(__xludf.DUMMYFUNCTION("""COMPUTED_VALUE"""),"LLOO Rio Bravo")</f>
        <v>LLOO Rio Bravo</v>
      </c>
      <c r="E217" s="19" t="str">
        <f>IFERROR(__xludf.DUMMYFUNCTION("""COMPUTED_VALUE"""),"SITIO ASIGNADO")</f>
        <v>SITIO ASIGNADO</v>
      </c>
      <c r="F217" s="19"/>
      <c r="G217" s="19" t="str">
        <f>IFERROR(__xludf.DUMMYFUNCTION("""COMPUTED_VALUE"""),"CV60 (H)")</f>
        <v>CV60 (H)</v>
      </c>
      <c r="H217" s="19" t="str">
        <f>IFERROR(__xludf.DUMMYFUNCTION("""COMPUTED_VALUE"""),"AJ")</f>
        <v>AJ</v>
      </c>
      <c r="I217" s="19" t="str">
        <f>IFERROR(__xludf.DUMMYFUNCTION("""COMPUTED_VALUE"""),"Entregada")</f>
        <v>Entregada</v>
      </c>
      <c r="J217" s="20">
        <f>IFERROR(__xludf.DUMMYFUNCTION("""COMPUTED_VALUE"""),44851.0)</f>
        <v>44851</v>
      </c>
      <c r="K217" s="19" t="str">
        <f>IFERROR(__xludf.DUMMYFUNCTION("""COMPUTED_VALUE"""),"Terminada")</f>
        <v>Terminada</v>
      </c>
      <c r="L217" s="20">
        <f>IFERROR(__xludf.DUMMYFUNCTION("""COMPUTED_VALUE"""),44881.0)</f>
        <v>44881</v>
      </c>
      <c r="M217" s="19" t="str">
        <f>IFERROR(__xludf.DUMMYFUNCTION("""COMPUTED_VALUE"""),"PCM")</f>
        <v>PCM</v>
      </c>
      <c r="N217" s="19" t="str">
        <f>IFERROR(__xludf.DUMMYFUNCTION("""COMPUTED_VALUE"""),"PRIORIDAD 1 Q3 2023 OCTUBRE")</f>
        <v>PRIORIDAD 1 Q3 2023 OCTUBRE</v>
      </c>
    </row>
    <row r="218" ht="15.75" customHeight="1">
      <c r="A218" s="19" t="str">
        <f>IFERROR(__xludf.DUMMYFUNCTION("""COMPUTED_VALUE"""),"AB_6893")</f>
        <v>AB_6893</v>
      </c>
      <c r="B218" s="19" t="str">
        <f>IFERROR(__xludf.DUMMYFUNCTION("""COMPUTED_VALUE"""),"AB_6893_C")</f>
        <v>AB_6893_C</v>
      </c>
      <c r="C218" s="19" t="str">
        <f>IFERROR(__xludf.DUMMYFUNCTION("""COMPUTED_VALUE"""),"AT6893")</f>
        <v>AT6893</v>
      </c>
      <c r="D218" s="19" t="str">
        <f>IFERROR(__xludf.DUMMYFUNCTION("""COMPUTED_VALUE"""),"Cerro San Felix")</f>
        <v>Cerro San Felix</v>
      </c>
      <c r="E218" s="19" t="str">
        <f>IFERROR(__xludf.DUMMYFUNCTION("""COMPUTED_VALUE"""),"SITIO CONSTRUIDO")</f>
        <v>SITIO CONSTRUIDO</v>
      </c>
      <c r="F218" s="19" t="str">
        <f>IFERROR(__xludf.DUMMYFUNCTION("""COMPUTED_VALUE"""),"VISITA")</f>
        <v>VISITA</v>
      </c>
      <c r="G218" s="19" t="str">
        <f>IFERROR(__xludf.DUMMYFUNCTION("""COMPUTED_VALUE"""),"CV42")</f>
        <v>CV42</v>
      </c>
      <c r="H218" s="19" t="str">
        <f>IFERROR(__xludf.DUMMYFUNCTION("""COMPUTED_VALUE"""),"DEPROMET")</f>
        <v>DEPROMET</v>
      </c>
      <c r="I218" s="19" t="str">
        <f>IFERROR(__xludf.DUMMYFUNCTION("""COMPUTED_VALUE"""),"Entregada")</f>
        <v>Entregada</v>
      </c>
      <c r="J218" s="20">
        <f>IFERROR(__xludf.DUMMYFUNCTION("""COMPUTED_VALUE"""),44764.0)</f>
        <v>44764</v>
      </c>
      <c r="K218" s="19" t="str">
        <f>IFERROR(__xludf.DUMMYFUNCTION("""COMPUTED_VALUE"""),"Terminada")</f>
        <v>Terminada</v>
      </c>
      <c r="L218" s="20">
        <f>IFERROR(__xludf.DUMMYFUNCTION("""COMPUTED_VALUE"""),44785.0)</f>
        <v>44785</v>
      </c>
      <c r="M218" s="19" t="str">
        <f>IFERROR(__xludf.DUMMYFUNCTION("""COMPUTED_VALUE"""),"PCM")</f>
        <v>PCM</v>
      </c>
      <c r="N218" s="19" t="str">
        <f>IFERROR(__xludf.DUMMYFUNCTION("""COMPUTED_VALUE"""),"PRIORIDAD 1 Q3 2023 OCTUBRE")</f>
        <v>PRIORIDAD 1 Q3 2023 OCTUBRE</v>
      </c>
    </row>
    <row r="219" ht="15.75" customHeight="1">
      <c r="A219" s="19" t="str">
        <f>IFERROR(__xludf.DUMMYFUNCTION("""COMPUTED_VALUE"""),"AB_0659")</f>
        <v>AB_0659</v>
      </c>
      <c r="B219" s="19" t="str">
        <f>IFERROR(__xludf.DUMMYFUNCTION("""COMPUTED_VALUE"""),"AB_0659_H")</f>
        <v>AB_0659_H</v>
      </c>
      <c r="C219" s="19" t="str">
        <f>IFERROR(__xludf.DUMMYFUNCTION("""COMPUTED_VALUE"""),"BI0659")</f>
        <v>BI0659</v>
      </c>
      <c r="D219" s="19" t="str">
        <f>IFERROR(__xludf.DUMMYFUNCTION("""COMPUTED_VALUE"""),"Petrox")</f>
        <v>Petrox</v>
      </c>
      <c r="E219" s="19" t="str">
        <f>IFERROR(__xludf.DUMMYFUNCTION("""COMPUTED_VALUE"""),"DETENIDO EN PROCESO LDA")</f>
        <v>DETENIDO EN PROCESO LDA</v>
      </c>
      <c r="F219" s="19"/>
      <c r="G219" s="19" t="str">
        <f>IFERROR(__xludf.DUMMYFUNCTION("""COMPUTED_VALUE"""),"MP R40")</f>
        <v>MP R40</v>
      </c>
      <c r="H219" s="19" t="str">
        <f>IFERROR(__xludf.DUMMYFUNCTION("""COMPUTED_VALUE"""),"MER")</f>
        <v>MER</v>
      </c>
      <c r="I219" s="19" t="str">
        <f>IFERROR(__xludf.DUMMYFUNCTION("""COMPUTED_VALUE"""),"Entregada")</f>
        <v>Entregada</v>
      </c>
      <c r="J219" s="20">
        <f>IFERROR(__xludf.DUMMYFUNCTION("""COMPUTED_VALUE"""),44673.0)</f>
        <v>44673</v>
      </c>
      <c r="K219" s="19" t="str">
        <f>IFERROR(__xludf.DUMMYFUNCTION("""COMPUTED_VALUE"""),"Terminada")</f>
        <v>Terminada</v>
      </c>
      <c r="L219" s="20">
        <f>IFERROR(__xludf.DUMMYFUNCTION("""COMPUTED_VALUE"""),44680.0)</f>
        <v>44680</v>
      </c>
      <c r="M219" s="19" t="str">
        <f>IFERROR(__xludf.DUMMYFUNCTION("""COMPUTED_VALUE"""),"PCM")</f>
        <v>PCM</v>
      </c>
      <c r="N219" s="19" t="str">
        <f>IFERROR(__xludf.DUMMYFUNCTION("""COMPUTED_VALUE"""),"PRIORIDAD 3 Q1 2024 MARZO")</f>
        <v>PRIORIDAD 3 Q1 2024 MARZO</v>
      </c>
    </row>
    <row r="220" ht="15.75" customHeight="1">
      <c r="A220" s="19" t="str">
        <f>IFERROR(__xludf.DUMMYFUNCTION("""COMPUTED_VALUE"""),"AB_0768")</f>
        <v>AB_0768</v>
      </c>
      <c r="B220" s="19" t="str">
        <f>IFERROR(__xludf.DUMMYFUNCTION("""COMPUTED_VALUE"""),"AB_0768_G")</f>
        <v>AB_0768_G</v>
      </c>
      <c r="C220" s="19" t="str">
        <f>IFERROR(__xludf.DUMMYFUNCTION("""COMPUTED_VALUE"""),"BI0768")</f>
        <v>BI0768</v>
      </c>
      <c r="D220" s="19" t="str">
        <f>IFERROR(__xludf.DUMMYFUNCTION("""COMPUTED_VALUE"""),"Pintor Venegas")</f>
        <v>Pintor Venegas</v>
      </c>
      <c r="E220" s="19" t="str">
        <f>IFERROR(__xludf.DUMMYFUNCTION("""COMPUTED_VALUE"""),"SITIO PENDIENTE")</f>
        <v>SITIO PENDIENTE</v>
      </c>
      <c r="F220" s="19"/>
      <c r="G220" s="19" t="str">
        <f>IFERROR(__xludf.DUMMYFUNCTION("""COMPUTED_VALUE"""),"MP12")</f>
        <v>MP12</v>
      </c>
      <c r="H220" s="19" t="str">
        <f>IFERROR(__xludf.DUMMYFUNCTION("""COMPUTED_VALUE"""),"")</f>
        <v/>
      </c>
      <c r="I220" s="19" t="str">
        <f>IFERROR(__xludf.DUMMYFUNCTION("""COMPUTED_VALUE"""),"")</f>
        <v/>
      </c>
      <c r="J220" s="20" t="str">
        <f>IFERROR(__xludf.DUMMYFUNCTION("""COMPUTED_VALUE"""),"")</f>
        <v/>
      </c>
      <c r="K220" s="19" t="str">
        <f>IFERROR(__xludf.DUMMYFUNCTION("""COMPUTED_VALUE"""),"")</f>
        <v/>
      </c>
      <c r="L220" s="20" t="str">
        <f>IFERROR(__xludf.DUMMYFUNCTION("""COMPUTED_VALUE"""),"")</f>
        <v/>
      </c>
      <c r="M220" s="19" t="str">
        <f>IFERROR(__xludf.DUMMYFUNCTION("""COMPUTED_VALUE"""),"PCM")</f>
        <v>PCM</v>
      </c>
      <c r="N220" s="19" t="str">
        <f>IFERROR(__xludf.DUMMYFUNCTION("""COMPUTED_VALUE"""),"PRIORIDAD 3 Q1 2024 MARZO")</f>
        <v>PRIORIDAD 3 Q1 2024 MARZO</v>
      </c>
    </row>
    <row r="221" ht="15.75" customHeight="1">
      <c r="A221" s="19" t="str">
        <f>IFERROR(__xludf.DUMMYFUNCTION("""COMPUTED_VALUE"""),"AB_0856")</f>
        <v>AB_0856</v>
      </c>
      <c r="B221" s="19" t="str">
        <f>IFERROR(__xludf.DUMMYFUNCTION("""COMPUTED_VALUE"""),"AB_0856_D")</f>
        <v>AB_0856_D</v>
      </c>
      <c r="C221" s="19" t="str">
        <f>IFERROR(__xludf.DUMMYFUNCTION("""COMPUTED_VALUE"""),"BI0856")</f>
        <v>BI0856</v>
      </c>
      <c r="D221" s="19" t="str">
        <f>IFERROR(__xludf.DUMMYFUNCTION("""COMPUTED_VALUE"""),"Los angeles - El Peral")</f>
        <v>Los angeles - El Peral</v>
      </c>
      <c r="E221" s="19" t="str">
        <f>IFERROR(__xludf.DUMMYFUNCTION("""COMPUTED_VALUE"""),"SITIO RFI")</f>
        <v>SITIO RFI</v>
      </c>
      <c r="F221" s="19" t="str">
        <f>IFERROR(__xludf.DUMMYFUNCTION("""COMPUTED_VALUE"""),"RFI")</f>
        <v>RFI</v>
      </c>
      <c r="G221" s="19" t="str">
        <f>IFERROR(__xludf.DUMMYFUNCTION("""COMPUTED_VALUE"""),"AS60")</f>
        <v>AS60</v>
      </c>
      <c r="H221" s="19" t="str">
        <f>IFERROR(__xludf.DUMMYFUNCTION("""COMPUTED_VALUE"""),"ADM")</f>
        <v>ADM</v>
      </c>
      <c r="I221" s="19" t="str">
        <f>IFERROR(__xludf.DUMMYFUNCTION("""COMPUTED_VALUE"""),"Entregada")</f>
        <v>Entregada</v>
      </c>
      <c r="J221" s="20">
        <f>IFERROR(__xludf.DUMMYFUNCTION("""COMPUTED_VALUE"""),44750.0)</f>
        <v>44750</v>
      </c>
      <c r="K221" s="19" t="str">
        <f>IFERROR(__xludf.DUMMYFUNCTION("""COMPUTED_VALUE"""),"Entregada")</f>
        <v>Entregada</v>
      </c>
      <c r="L221" s="20">
        <f>IFERROR(__xludf.DUMMYFUNCTION("""COMPUTED_VALUE"""),44778.0)</f>
        <v>44778</v>
      </c>
      <c r="M221" s="19" t="str">
        <f>IFERROR(__xludf.DUMMYFUNCTION("""COMPUTED_VALUE"""),"LLOO")</f>
        <v>LLOO</v>
      </c>
      <c r="N221" s="19" t="str">
        <f>IFERROR(__xludf.DUMMYFUNCTION("""COMPUTED_VALUE"""),"PRIORIDAD 1 Q3 2023 OCTUBRE")</f>
        <v>PRIORIDAD 1 Q3 2023 OCTUBRE</v>
      </c>
    </row>
    <row r="222" ht="15.75" customHeight="1">
      <c r="A222" s="19" t="str">
        <f>IFERROR(__xludf.DUMMYFUNCTION("""COMPUTED_VALUE"""),"AB_1006")</f>
        <v>AB_1006</v>
      </c>
      <c r="B222" s="19" t="str">
        <f>IFERROR(__xludf.DUMMYFUNCTION("""COMPUTED_VALUE"""),"AB_1006_A")</f>
        <v>AB_1006_A</v>
      </c>
      <c r="C222" s="19" t="str">
        <f>IFERROR(__xludf.DUMMYFUNCTION("""COMPUTED_VALUE"""),"BI1006")</f>
        <v>BI1006</v>
      </c>
      <c r="D222" s="19" t="str">
        <f>IFERROR(__xludf.DUMMYFUNCTION("""COMPUTED_VALUE"""),"Agua de la Gloria 1")</f>
        <v>Agua de la Gloria 1</v>
      </c>
      <c r="E222" s="19" t="str">
        <f>IFERROR(__xludf.DUMMYFUNCTION("""COMPUTED_VALUE"""),"SITIO RFI")</f>
        <v>SITIO RFI</v>
      </c>
      <c r="F222" s="19" t="str">
        <f>IFERROR(__xludf.DUMMYFUNCTION("""COMPUTED_VALUE"""),"RFI")</f>
        <v>RFI</v>
      </c>
      <c r="G222" s="19" t="str">
        <f>IFERROR(__xludf.DUMMYFUNCTION("""COMPUTED_VALUE"""),"AS60")</f>
        <v>AS60</v>
      </c>
      <c r="H222" s="19" t="str">
        <f>IFERROR(__xludf.DUMMYFUNCTION("""COMPUTED_VALUE"""),"DEITEL")</f>
        <v>DEITEL</v>
      </c>
      <c r="I222" s="19" t="str">
        <f>IFERROR(__xludf.DUMMYFUNCTION("""COMPUTED_VALUE"""),"Entregada")</f>
        <v>Entregada</v>
      </c>
      <c r="J222" s="20">
        <f>IFERROR(__xludf.DUMMYFUNCTION("""COMPUTED_VALUE"""),44672.0)</f>
        <v>44672</v>
      </c>
      <c r="K222" s="19" t="str">
        <f>IFERROR(__xludf.DUMMYFUNCTION("""COMPUTED_VALUE"""),"Entregada")</f>
        <v>Entregada</v>
      </c>
      <c r="L222" s="20">
        <f>IFERROR(__xludf.DUMMYFUNCTION("""COMPUTED_VALUE"""),44720.0)</f>
        <v>44720</v>
      </c>
      <c r="M222" s="19" t="str">
        <f>IFERROR(__xludf.DUMMYFUNCTION("""COMPUTED_VALUE"""),"PCM")</f>
        <v>PCM</v>
      </c>
      <c r="N222" s="19" t="str">
        <f>IFERROR(__xludf.DUMMYFUNCTION("""COMPUTED_VALUE"""),"PRIORIDAD 1 Q3 2023 OCTUBRE")</f>
        <v>PRIORIDAD 1 Q3 2023 OCTUBRE</v>
      </c>
    </row>
    <row r="223" ht="15.75" customHeight="1">
      <c r="A223" s="19" t="str">
        <f>IFERROR(__xludf.DUMMYFUNCTION("""COMPUTED_VALUE"""),"AB_10162")</f>
        <v>AB_10162</v>
      </c>
      <c r="B223" s="19" t="str">
        <f>IFERROR(__xludf.DUMMYFUNCTION("""COMPUTED_VALUE"""),"AB_10162_A")</f>
        <v>AB_10162_A</v>
      </c>
      <c r="C223" s="19" t="str">
        <f>IFERROR(__xludf.DUMMYFUNCTION("""COMPUTED_VALUE"""),"BI10162")</f>
        <v>BI10162</v>
      </c>
      <c r="D223" s="19" t="str">
        <f>IFERROR(__xludf.DUMMYFUNCTION("""COMPUTED_VALUE"""),"Puerto San Vicente 5G_1")</f>
        <v>Puerto San Vicente 5G_1</v>
      </c>
      <c r="E223" s="19" t="str">
        <f>IFERROR(__xludf.DUMMYFUNCTION("""COMPUTED_VALUE"""),"SITIO RFI")</f>
        <v>SITIO RFI</v>
      </c>
      <c r="F223" s="19" t="str">
        <f>IFERROR(__xludf.DUMMYFUNCTION("""COMPUTED_VALUE"""),"RFI")</f>
        <v>RFI</v>
      </c>
      <c r="G223" s="19" t="str">
        <f>IFERROR(__xludf.DUMMYFUNCTION("""COMPUTED_VALUE"""),"MP R30")</f>
        <v>MP R30</v>
      </c>
      <c r="H223" s="19" t="str">
        <f>IFERROR(__xludf.DUMMYFUNCTION("""COMPUTED_VALUE"""),"DEITEL")</f>
        <v>DEITEL</v>
      </c>
      <c r="I223" s="19" t="str">
        <f>IFERROR(__xludf.DUMMYFUNCTION("""COMPUTED_VALUE"""),"Entregada")</f>
        <v>Entregada</v>
      </c>
      <c r="J223" s="20">
        <f>IFERROR(__xludf.DUMMYFUNCTION("""COMPUTED_VALUE"""),44950.0)</f>
        <v>44950</v>
      </c>
      <c r="K223" s="19" t="str">
        <f>IFERROR(__xludf.DUMMYFUNCTION("""COMPUTED_VALUE"""),"Entregada")</f>
        <v>Entregada</v>
      </c>
      <c r="L223" s="20">
        <f>IFERROR(__xludf.DUMMYFUNCTION("""COMPUTED_VALUE"""),44983.0)</f>
        <v>44983</v>
      </c>
      <c r="M223" s="19" t="str">
        <f>IFERROR(__xludf.DUMMYFUNCTION("""COMPUTED_VALUE"""),"PCM")</f>
        <v>PCM</v>
      </c>
      <c r="N223" s="19" t="str">
        <f>IFERROR(__xludf.DUMMYFUNCTION("""COMPUTED_VALUE"""),"PRIORIDAD 1 Q3 2023 OCTUBRE")</f>
        <v>PRIORIDAD 1 Q3 2023 OCTUBRE</v>
      </c>
    </row>
    <row r="224" ht="15.75" customHeight="1">
      <c r="A224" s="19" t="str">
        <f>IFERROR(__xludf.DUMMYFUNCTION("""COMPUTED_VALUE"""),"AB_10168")</f>
        <v>AB_10168</v>
      </c>
      <c r="B224" s="19" t="str">
        <f>IFERROR(__xludf.DUMMYFUNCTION("""COMPUTED_VALUE"""),"AB_10168_C")</f>
        <v>AB_10168_C</v>
      </c>
      <c r="C224" s="19" t="str">
        <f>IFERROR(__xludf.DUMMYFUNCTION("""COMPUTED_VALUE"""),"BI10168")</f>
        <v>BI10168</v>
      </c>
      <c r="D224" s="19" t="str">
        <f>IFERROR(__xludf.DUMMYFUNCTION("""COMPUTED_VALUE"""),"Chanquin")</f>
        <v>Chanquin</v>
      </c>
      <c r="E224" s="19" t="str">
        <f>IFERROR(__xludf.DUMMYFUNCTION("""COMPUTED_VALUE"""),"SITIO EN CONSTRUCCION")</f>
        <v>SITIO EN CONSTRUCCION</v>
      </c>
      <c r="F224" s="19" t="str">
        <f>IFERROR(__xludf.DUMMYFUNCTION("""COMPUTED_VALUE"""),"ENFIERRADURA")</f>
        <v>ENFIERRADURA</v>
      </c>
      <c r="G224" s="19" t="str">
        <f>IFERROR(__xludf.DUMMYFUNCTION("""COMPUTED_VALUE"""),"AS60")</f>
        <v>AS60</v>
      </c>
      <c r="H224" s="19" t="str">
        <f>IFERROR(__xludf.DUMMYFUNCTION("""COMPUTED_VALUE"""),"MER")</f>
        <v>MER</v>
      </c>
      <c r="I224" s="19" t="str">
        <f>IFERROR(__xludf.DUMMYFUNCTION("""COMPUTED_VALUE"""),"Terminada")</f>
        <v>Terminada</v>
      </c>
      <c r="J224" s="20">
        <f>IFERROR(__xludf.DUMMYFUNCTION("""COMPUTED_VALUE"""),44658.0)</f>
        <v>44658</v>
      </c>
      <c r="K224" s="19" t="str">
        <f>IFERROR(__xludf.DUMMYFUNCTION("""COMPUTED_VALUE"""),"Terminada")</f>
        <v>Terminada</v>
      </c>
      <c r="L224" s="20">
        <f>IFERROR(__xludf.DUMMYFUNCTION("""COMPUTED_VALUE"""),44708.0)</f>
        <v>44708</v>
      </c>
      <c r="M224" s="19" t="str">
        <f>IFERROR(__xludf.DUMMYFUNCTION("""COMPUTED_VALUE"""),"PCM")</f>
        <v>PCM</v>
      </c>
      <c r="N224" s="19" t="str">
        <f>IFERROR(__xludf.DUMMYFUNCTION("""COMPUTED_VALUE"""),"PRIORIDAD 1 Q3 2023 OCTUBRE")</f>
        <v>PRIORIDAD 1 Q3 2023 OCTUBRE</v>
      </c>
    </row>
    <row r="225" ht="15.75" customHeight="1">
      <c r="A225" s="19" t="str">
        <f>IFERROR(__xludf.DUMMYFUNCTION("""COMPUTED_VALUE"""),"AB_10171")</f>
        <v>AB_10171</v>
      </c>
      <c r="B225" s="19" t="str">
        <f>IFERROR(__xludf.DUMMYFUNCTION("""COMPUTED_VALUE"""),"AB_10171_A")</f>
        <v>AB_10171_A</v>
      </c>
      <c r="C225" s="19" t="str">
        <f>IFERROR(__xludf.DUMMYFUNCTION("""COMPUTED_VALUE"""),"BI10171")</f>
        <v>BI10171</v>
      </c>
      <c r="D225" s="19" t="str">
        <f>IFERROR(__xludf.DUMMYFUNCTION("""COMPUTED_VALUE"""),"Estuario Lenga")</f>
        <v>Estuario Lenga</v>
      </c>
      <c r="E225" s="19" t="str">
        <f>IFERROR(__xludf.DUMMYFUNCTION("""COMPUTED_VALUE"""),"DETENIDO DOM")</f>
        <v>DETENIDO DOM</v>
      </c>
      <c r="F225" s="19"/>
      <c r="G225" s="19" t="str">
        <f>IFERROR(__xludf.DUMMYFUNCTION("""COMPUTED_VALUE"""),"MP R30")</f>
        <v>MP R30</v>
      </c>
      <c r="H225" s="19" t="str">
        <f>IFERROR(__xludf.DUMMYFUNCTION("""COMPUTED_VALUE"""),"MER")</f>
        <v>MER</v>
      </c>
      <c r="I225" s="19" t="str">
        <f>IFERROR(__xludf.DUMMYFUNCTION("""COMPUTED_VALUE"""),"Terminada")</f>
        <v>Terminada</v>
      </c>
      <c r="J225" s="20">
        <f>IFERROR(__xludf.DUMMYFUNCTION("""COMPUTED_VALUE"""),44771.0)</f>
        <v>44771</v>
      </c>
      <c r="K225" s="19" t="str">
        <f>IFERROR(__xludf.DUMMYFUNCTION("""COMPUTED_VALUE"""),"Por pintar ")</f>
        <v>Por pintar </v>
      </c>
      <c r="L225" s="20">
        <f>IFERROR(__xludf.DUMMYFUNCTION("""COMPUTED_VALUE"""),44803.0)</f>
        <v>44803</v>
      </c>
      <c r="M225" s="19" t="str">
        <f>IFERROR(__xludf.DUMMYFUNCTION("""COMPUTED_VALUE"""),"PCM")</f>
        <v>PCM</v>
      </c>
      <c r="N225" s="19" t="str">
        <f>IFERROR(__xludf.DUMMYFUNCTION("""COMPUTED_VALUE"""),"PRIORIDAD 3 Q1 2024 MARZO")</f>
        <v>PRIORIDAD 3 Q1 2024 MARZO</v>
      </c>
    </row>
    <row r="226" ht="15.75" customHeight="1">
      <c r="A226" s="19" t="str">
        <f>IFERROR(__xludf.DUMMYFUNCTION("""COMPUTED_VALUE"""),"AB_10173")</f>
        <v>AB_10173</v>
      </c>
      <c r="B226" s="19" t="str">
        <f>IFERROR(__xludf.DUMMYFUNCTION("""COMPUTED_VALUE"""),"AB_10173_A")</f>
        <v>AB_10173_A</v>
      </c>
      <c r="C226" s="19" t="str">
        <f>IFERROR(__xludf.DUMMYFUNCTION("""COMPUTED_VALUE"""),"BI10173")</f>
        <v>BI10173</v>
      </c>
      <c r="D226" s="19" t="str">
        <f>IFERROR(__xludf.DUMMYFUNCTION("""COMPUTED_VALUE"""),"Coyunche Rio Laja")</f>
        <v>Coyunche Rio Laja</v>
      </c>
      <c r="E226" s="19" t="str">
        <f>IFERROR(__xludf.DUMMYFUNCTION("""COMPUTED_VALUE"""),"SITIO RFI")</f>
        <v>SITIO RFI</v>
      </c>
      <c r="F226" s="19" t="str">
        <f>IFERROR(__xludf.DUMMYFUNCTION("""COMPUTED_VALUE"""),"RFI")</f>
        <v>RFI</v>
      </c>
      <c r="G226" s="19" t="str">
        <f>IFERROR(__xludf.DUMMYFUNCTION("""COMPUTED_VALUE"""),"AS42")</f>
        <v>AS42</v>
      </c>
      <c r="H226" s="19" t="str">
        <f>IFERROR(__xludf.DUMMYFUNCTION("""COMPUTED_VALUE"""),"DEITEL")</f>
        <v>DEITEL</v>
      </c>
      <c r="I226" s="19" t="str">
        <f>IFERROR(__xludf.DUMMYFUNCTION("""COMPUTED_VALUE"""),"Entregada")</f>
        <v>Entregada</v>
      </c>
      <c r="J226" s="20">
        <f>IFERROR(__xludf.DUMMYFUNCTION("""COMPUTED_VALUE"""),44672.0)</f>
        <v>44672</v>
      </c>
      <c r="K226" s="19" t="str">
        <f>IFERROR(__xludf.DUMMYFUNCTION("""COMPUTED_VALUE"""),"Entregada")</f>
        <v>Entregada</v>
      </c>
      <c r="L226" s="20">
        <f>IFERROR(__xludf.DUMMYFUNCTION("""COMPUTED_VALUE"""),44706.0)</f>
        <v>44706</v>
      </c>
      <c r="M226" s="19" t="str">
        <f>IFERROR(__xludf.DUMMYFUNCTION("""COMPUTED_VALUE"""),"PCM")</f>
        <v>PCM</v>
      </c>
      <c r="N226" s="19" t="str">
        <f>IFERROR(__xludf.DUMMYFUNCTION("""COMPUTED_VALUE"""),"PRIORIDAD 1 Q3 2023 OCTUBRE")</f>
        <v>PRIORIDAD 1 Q3 2023 OCTUBRE</v>
      </c>
    </row>
    <row r="227" ht="15.75" customHeight="1">
      <c r="A227" s="19" t="str">
        <f>IFERROR(__xludf.DUMMYFUNCTION("""COMPUTED_VALUE"""),"AB_10183")</f>
        <v>AB_10183</v>
      </c>
      <c r="B227" s="19" t="str">
        <f>IFERROR(__xludf.DUMMYFUNCTION("""COMPUTED_VALUE"""),"AB_10183_D")</f>
        <v>AB_10183_D</v>
      </c>
      <c r="C227" s="19" t="str">
        <f>IFERROR(__xludf.DUMMYFUNCTION("""COMPUTED_VALUE"""),"BI10183")</f>
        <v>BI10183</v>
      </c>
      <c r="D227" s="19" t="str">
        <f>IFERROR(__xludf.DUMMYFUNCTION("""COMPUTED_VALUE"""),"Museo Pedro del Rio")</f>
        <v>Museo Pedro del Rio</v>
      </c>
      <c r="E227" s="19" t="str">
        <f>IFERROR(__xludf.DUMMYFUNCTION("""COMPUTED_VALUE"""),"SITIO PENDIENTE")</f>
        <v>SITIO PENDIENTE</v>
      </c>
      <c r="F227" s="19"/>
      <c r="G227" s="19" t="str">
        <f>IFERROR(__xludf.DUMMYFUNCTION("""COMPUTED_VALUE"""),"MP PW30")</f>
        <v>MP PW30</v>
      </c>
      <c r="H227" s="19" t="str">
        <f>IFERROR(__xludf.DUMMYFUNCTION("""COMPUTED_VALUE"""),"COMPRAS")</f>
        <v>COMPRAS</v>
      </c>
      <c r="I227" s="19"/>
      <c r="J227" s="19"/>
      <c r="K227" s="19"/>
      <c r="L227" s="19"/>
      <c r="M227" s="19" t="str">
        <f>IFERROR(__xludf.DUMMYFUNCTION("""COMPUTED_VALUE"""),"PCM")</f>
        <v>PCM</v>
      </c>
      <c r="N227" s="19" t="str">
        <f>IFERROR(__xludf.DUMMYFUNCTION("""COMPUTED_VALUE"""),"PRIORIDAD 3 Q1 2024 MARZO")</f>
        <v>PRIORIDAD 3 Q1 2024 MARZO</v>
      </c>
    </row>
    <row r="228" ht="15.75" customHeight="1">
      <c r="A228" s="19" t="str">
        <f>IFERROR(__xludf.DUMMYFUNCTION("""COMPUTED_VALUE"""),"AB_10188")</f>
        <v>AB_10188</v>
      </c>
      <c r="B228" s="19" t="str">
        <f>IFERROR(__xludf.DUMMYFUNCTION("""COMPUTED_VALUE"""),"AB_10188_A")</f>
        <v>AB_10188_A</v>
      </c>
      <c r="C228" s="19" t="str">
        <f>IFERROR(__xludf.DUMMYFUNCTION("""COMPUTED_VALUE"""),"BI10188")</f>
        <v>BI10188</v>
      </c>
      <c r="D228" s="19" t="str">
        <f>IFERROR(__xludf.DUMMYFUNCTION("""COMPUTED_VALUE"""),"Subida Arturo Prat Chiguayante")</f>
        <v>Subida Arturo Prat Chiguayante</v>
      </c>
      <c r="E228" s="19" t="str">
        <f>IFERROR(__xludf.DUMMYFUNCTION("""COMPUTED_VALUE"""),"SITIO RFI")</f>
        <v>SITIO RFI</v>
      </c>
      <c r="F228" s="19" t="str">
        <f>IFERROR(__xludf.DUMMYFUNCTION("""COMPUTED_VALUE"""),"RFI")</f>
        <v>RFI</v>
      </c>
      <c r="G228" s="19" t="str">
        <f>IFERROR(__xludf.DUMMYFUNCTION("""COMPUTED_VALUE"""),"MP R18")</f>
        <v>MP R18</v>
      </c>
      <c r="H228" s="19" t="str">
        <f>IFERROR(__xludf.DUMMYFUNCTION("""COMPUTED_VALUE"""),"MER")</f>
        <v>MER</v>
      </c>
      <c r="I228" s="19" t="str">
        <f>IFERROR(__xludf.DUMMYFUNCTION("""COMPUTED_VALUE"""),"Entregada")</f>
        <v>Entregada</v>
      </c>
      <c r="J228" s="20">
        <f>IFERROR(__xludf.DUMMYFUNCTION("""COMPUTED_VALUE"""),44771.0)</f>
        <v>44771</v>
      </c>
      <c r="K228" s="19" t="str">
        <f>IFERROR(__xludf.DUMMYFUNCTION("""COMPUTED_VALUE"""),"Entregada")</f>
        <v>Entregada</v>
      </c>
      <c r="L228" s="20">
        <f>IFERROR(__xludf.DUMMYFUNCTION("""COMPUTED_VALUE"""),44803.0)</f>
        <v>44803</v>
      </c>
      <c r="M228" s="19" t="str">
        <f>IFERROR(__xludf.DUMMYFUNCTION("""COMPUTED_VALUE"""),"PCM")</f>
        <v>PCM</v>
      </c>
      <c r="N228" s="19" t="str">
        <f>IFERROR(__xludf.DUMMYFUNCTION("""COMPUTED_VALUE"""),"PRIORIDAD 1 Q3 2023 OCTUBRE")</f>
        <v>PRIORIDAD 1 Q3 2023 OCTUBRE</v>
      </c>
    </row>
    <row r="229" ht="15.75" customHeight="1">
      <c r="A229" s="19" t="str">
        <f>IFERROR(__xludf.DUMMYFUNCTION("""COMPUTED_VALUE"""),"AB_10197")</f>
        <v>AB_10197</v>
      </c>
      <c r="B229" s="19" t="str">
        <f>IFERROR(__xludf.DUMMYFUNCTION("""COMPUTED_VALUE"""),"AB_10197_A")</f>
        <v>AB_10197_A</v>
      </c>
      <c r="C229" s="19" t="str">
        <f>IFERROR(__xludf.DUMMYFUNCTION("""COMPUTED_VALUE"""),"BI10197")</f>
        <v>BI10197</v>
      </c>
      <c r="D229" s="19" t="str">
        <f>IFERROR(__xludf.DUMMYFUNCTION("""COMPUTED_VALUE"""),"Villa Laja")</f>
        <v>Villa Laja</v>
      </c>
      <c r="E229" s="19" t="str">
        <f>IFERROR(__xludf.DUMMYFUNCTION("""COMPUTED_VALUE"""),"SITIO RFI")</f>
        <v>SITIO RFI</v>
      </c>
      <c r="F229" s="19" t="str">
        <f>IFERROR(__xludf.DUMMYFUNCTION("""COMPUTED_VALUE"""),"RFI")</f>
        <v>RFI</v>
      </c>
      <c r="G229" s="19" t="str">
        <f>IFERROR(__xludf.DUMMYFUNCTION("""COMPUTED_VALUE"""),"CV42")</f>
        <v>CV42</v>
      </c>
      <c r="H229" s="19" t="str">
        <f>IFERROR(__xludf.DUMMYFUNCTION("""COMPUTED_VALUE"""),"AJ")</f>
        <v>AJ</v>
      </c>
      <c r="I229" s="19" t="str">
        <f>IFERROR(__xludf.DUMMYFUNCTION("""COMPUTED_VALUE"""),"Entregada")</f>
        <v>Entregada</v>
      </c>
      <c r="J229" s="20">
        <f>IFERROR(__xludf.DUMMYFUNCTION("""COMPUTED_VALUE"""),44543.0)</f>
        <v>44543</v>
      </c>
      <c r="K229" s="19" t="str">
        <f>IFERROR(__xludf.DUMMYFUNCTION("""COMPUTED_VALUE"""),"Entregada")</f>
        <v>Entregada</v>
      </c>
      <c r="L229" s="20">
        <f>IFERROR(__xludf.DUMMYFUNCTION("""COMPUTED_VALUE"""),44533.0)</f>
        <v>44533</v>
      </c>
      <c r="M229" s="19" t="str">
        <f>IFERROR(__xludf.DUMMYFUNCTION("""COMPUTED_VALUE"""),"PCM")</f>
        <v>PCM</v>
      </c>
      <c r="N229" s="19" t="str">
        <f>IFERROR(__xludf.DUMMYFUNCTION("""COMPUTED_VALUE"""),"PRIORIDAD 1 Q3 2023 OCTUBRE")</f>
        <v>PRIORIDAD 1 Q3 2023 OCTUBRE</v>
      </c>
    </row>
    <row r="230" ht="15.75" customHeight="1">
      <c r="A230" s="19" t="str">
        <f>IFERROR(__xludf.DUMMYFUNCTION("""COMPUTED_VALUE"""),"AB_10206")</f>
        <v>AB_10206</v>
      </c>
      <c r="B230" s="19" t="str">
        <f>IFERROR(__xludf.DUMMYFUNCTION("""COMPUTED_VALUE"""),"AB_10206_C")</f>
        <v>AB_10206_C</v>
      </c>
      <c r="C230" s="19" t="str">
        <f>IFERROR(__xludf.DUMMYFUNCTION("""COMPUTED_VALUE"""),"BI10206")</f>
        <v>BI10206</v>
      </c>
      <c r="D230" s="19" t="str">
        <f>IFERROR(__xludf.DUMMYFUNCTION("""COMPUTED_VALUE"""),"Canteras Chiguayante")</f>
        <v>Canteras Chiguayante</v>
      </c>
      <c r="E230" s="19" t="str">
        <f>IFERROR(__xludf.DUMMYFUNCTION("""COMPUTED_VALUE"""),"SITIO RFI")</f>
        <v>SITIO RFI</v>
      </c>
      <c r="F230" s="19" t="str">
        <f>IFERROR(__xludf.DUMMYFUNCTION("""COMPUTED_VALUE"""),"RFI")</f>
        <v>RFI</v>
      </c>
      <c r="G230" s="19" t="str">
        <f>IFERROR(__xludf.DUMMYFUNCTION("""COMPUTED_VALUE"""),"CV48")</f>
        <v>CV48</v>
      </c>
      <c r="H230" s="19" t="str">
        <f>IFERROR(__xludf.DUMMYFUNCTION("""COMPUTED_VALUE"""),"ADM")</f>
        <v>ADM</v>
      </c>
      <c r="I230" s="19" t="str">
        <f>IFERROR(__xludf.DUMMYFUNCTION("""COMPUTED_VALUE"""),"Entregada")</f>
        <v>Entregada</v>
      </c>
      <c r="J230" s="20">
        <f>IFERROR(__xludf.DUMMYFUNCTION("""COMPUTED_VALUE"""),44736.0)</f>
        <v>44736</v>
      </c>
      <c r="K230" s="19" t="str">
        <f>IFERROR(__xludf.DUMMYFUNCTION("""COMPUTED_VALUE"""),"Entregada")</f>
        <v>Entregada</v>
      </c>
      <c r="L230" s="20">
        <f>IFERROR(__xludf.DUMMYFUNCTION("""COMPUTED_VALUE"""),44848.0)</f>
        <v>44848</v>
      </c>
      <c r="M230" s="19" t="str">
        <f>IFERROR(__xludf.DUMMYFUNCTION("""COMPUTED_VALUE"""),"PCM")</f>
        <v>PCM</v>
      </c>
      <c r="N230" s="19" t="str">
        <f>IFERROR(__xludf.DUMMYFUNCTION("""COMPUTED_VALUE"""),"PRIORIDAD 1 Q3 2023 OCTUBRE")</f>
        <v>PRIORIDAD 1 Q3 2023 OCTUBRE</v>
      </c>
    </row>
    <row r="231" ht="15.75" customHeight="1">
      <c r="A231" s="19" t="str">
        <f>IFERROR(__xludf.DUMMYFUNCTION("""COMPUTED_VALUE"""),"AB_10207")</f>
        <v>AB_10207</v>
      </c>
      <c r="B231" s="19" t="str">
        <f>IFERROR(__xludf.DUMMYFUNCTION("""COMPUTED_VALUE"""),"AB_10207_B")</f>
        <v>AB_10207_B</v>
      </c>
      <c r="C231" s="19" t="str">
        <f>IFERROR(__xludf.DUMMYFUNCTION("""COMPUTED_VALUE"""),"BI10207")</f>
        <v>BI10207</v>
      </c>
      <c r="D231" s="19" t="str">
        <f>IFERROR(__xludf.DUMMYFUNCTION("""COMPUTED_VALUE"""),"La Piedra Lenga")</f>
        <v>La Piedra Lenga</v>
      </c>
      <c r="E231" s="19" t="str">
        <f>IFERROR(__xludf.DUMMYFUNCTION("""COMPUTED_VALUE"""),"DETENIDO EN PROCESO LDA")</f>
        <v>DETENIDO EN PROCESO LDA</v>
      </c>
      <c r="F231" s="19"/>
      <c r="G231" s="19" t="str">
        <f>IFERROR(__xludf.DUMMYFUNCTION("""COMPUTED_VALUE"""),"MP R40")</f>
        <v>MP R40</v>
      </c>
      <c r="H231" s="19" t="str">
        <f>IFERROR(__xludf.DUMMYFUNCTION("""COMPUTED_VALUE"""),"MER")</f>
        <v>MER</v>
      </c>
      <c r="I231" s="19" t="str">
        <f>IFERROR(__xludf.DUMMYFUNCTION("""COMPUTED_VALUE"""),"Terminada")</f>
        <v>Terminada</v>
      </c>
      <c r="J231" s="20">
        <f>IFERROR(__xludf.DUMMYFUNCTION("""COMPUTED_VALUE"""),44708.0)</f>
        <v>44708</v>
      </c>
      <c r="K231" s="19" t="str">
        <f>IFERROR(__xludf.DUMMYFUNCTION("""COMPUTED_VALUE"""),"Por pintar ")</f>
        <v>Por pintar </v>
      </c>
      <c r="L231" s="20">
        <f>IFERROR(__xludf.DUMMYFUNCTION("""COMPUTED_VALUE"""),44729.0)</f>
        <v>44729</v>
      </c>
      <c r="M231" s="19" t="str">
        <f>IFERROR(__xludf.DUMMYFUNCTION("""COMPUTED_VALUE"""),"PCM")</f>
        <v>PCM</v>
      </c>
      <c r="N231" s="19" t="str">
        <f>IFERROR(__xludf.DUMMYFUNCTION("""COMPUTED_VALUE"""),"PRIORIDAD 3 Q1 2024 MARZO")</f>
        <v>PRIORIDAD 3 Q1 2024 MARZO</v>
      </c>
    </row>
    <row r="232" ht="15.75" customHeight="1">
      <c r="A232" s="19" t="str">
        <f>IFERROR(__xludf.DUMMYFUNCTION("""COMPUTED_VALUE"""),"AB_10208")</f>
        <v>AB_10208</v>
      </c>
      <c r="B232" s="19" t="str">
        <f>IFERROR(__xludf.DUMMYFUNCTION("""COMPUTED_VALUE"""),"AB_10208_B")</f>
        <v>AB_10208_B</v>
      </c>
      <c r="C232" s="19" t="str">
        <f>IFERROR(__xludf.DUMMYFUNCTION("""COMPUTED_VALUE"""),"BI10208")</f>
        <v>BI10208</v>
      </c>
      <c r="D232" s="19" t="str">
        <f>IFERROR(__xludf.DUMMYFUNCTION("""COMPUTED_VALUE"""),"ENAP Hualpencillo")</f>
        <v>ENAP Hualpencillo</v>
      </c>
      <c r="E232" s="19" t="str">
        <f>IFERROR(__xludf.DUMMYFUNCTION("""COMPUTED_VALUE"""),"DETENIDO EN PROCESO LDA")</f>
        <v>DETENIDO EN PROCESO LDA</v>
      </c>
      <c r="F232" s="19"/>
      <c r="G232" s="19" t="str">
        <f>IFERROR(__xludf.DUMMYFUNCTION("""COMPUTED_VALUE"""),"MP R40")</f>
        <v>MP R40</v>
      </c>
      <c r="H232" s="19" t="str">
        <f>IFERROR(__xludf.DUMMYFUNCTION("""COMPUTED_VALUE"""),"MER")</f>
        <v>MER</v>
      </c>
      <c r="I232" s="19" t="str">
        <f>IFERROR(__xludf.DUMMYFUNCTION("""COMPUTED_VALUE"""),"Entregada")</f>
        <v>Entregada</v>
      </c>
      <c r="J232" s="20">
        <f>IFERROR(__xludf.DUMMYFUNCTION("""COMPUTED_VALUE"""),44708.0)</f>
        <v>44708</v>
      </c>
      <c r="K232" s="19" t="str">
        <f>IFERROR(__xludf.DUMMYFUNCTION("""COMPUTED_VALUE"""),"Por pintar ")</f>
        <v>Por pintar </v>
      </c>
      <c r="L232" s="20">
        <f>IFERROR(__xludf.DUMMYFUNCTION("""COMPUTED_VALUE"""),44742.0)</f>
        <v>44742</v>
      </c>
      <c r="M232" s="19" t="str">
        <f>IFERROR(__xludf.DUMMYFUNCTION("""COMPUTED_VALUE"""),"PCM")</f>
        <v>PCM</v>
      </c>
      <c r="N232" s="19" t="str">
        <f>IFERROR(__xludf.DUMMYFUNCTION("""COMPUTED_VALUE"""),"PRIORIDAD 3 Q1 2024 MARZO")</f>
        <v>PRIORIDAD 3 Q1 2024 MARZO</v>
      </c>
    </row>
    <row r="233" ht="15.75" customHeight="1">
      <c r="A233" s="19" t="str">
        <f>IFERROR(__xludf.DUMMYFUNCTION("""COMPUTED_VALUE"""),"AB_10212")</f>
        <v>AB_10212</v>
      </c>
      <c r="B233" s="19" t="str">
        <f>IFERROR(__xludf.DUMMYFUNCTION("""COMPUTED_VALUE"""),"AB_10212_A")</f>
        <v>AB_10212_A</v>
      </c>
      <c r="C233" s="19" t="str">
        <f>IFERROR(__xludf.DUMMYFUNCTION("""COMPUTED_VALUE"""),"BI10212")</f>
        <v>BI10212</v>
      </c>
      <c r="D233" s="19" t="str">
        <f>IFERROR(__xludf.DUMMYFUNCTION("""COMPUTED_VALUE"""),"Hualqui Ainahue")</f>
        <v>Hualqui Ainahue</v>
      </c>
      <c r="E233" s="19" t="str">
        <f>IFERROR(__xludf.DUMMYFUNCTION("""COMPUTED_VALUE"""),"SITIO RFI")</f>
        <v>SITIO RFI</v>
      </c>
      <c r="F233" s="19" t="str">
        <f>IFERROR(__xludf.DUMMYFUNCTION("""COMPUTED_VALUE"""),"RFI")</f>
        <v>RFI</v>
      </c>
      <c r="G233" s="19" t="str">
        <f>IFERROR(__xludf.DUMMYFUNCTION("""COMPUTED_VALUE"""),"MP36")</f>
        <v>MP36</v>
      </c>
      <c r="H233" s="19" t="str">
        <f>IFERROR(__xludf.DUMMYFUNCTION("""COMPUTED_VALUE"""),"MER")</f>
        <v>MER</v>
      </c>
      <c r="I233" s="19" t="str">
        <f>IFERROR(__xludf.DUMMYFUNCTION("""COMPUTED_VALUE"""),"Entregada")</f>
        <v>Entregada</v>
      </c>
      <c r="J233" s="20">
        <f>IFERROR(__xludf.DUMMYFUNCTION("""COMPUTED_VALUE"""),44652.0)</f>
        <v>44652</v>
      </c>
      <c r="K233" s="19" t="str">
        <f>IFERROR(__xludf.DUMMYFUNCTION("""COMPUTED_VALUE"""),"Entregada")</f>
        <v>Entregada</v>
      </c>
      <c r="L233" s="20">
        <f>IFERROR(__xludf.DUMMYFUNCTION("""COMPUTED_VALUE"""),44666.0)</f>
        <v>44666</v>
      </c>
      <c r="M233" s="19" t="str">
        <f>IFERROR(__xludf.DUMMYFUNCTION("""COMPUTED_VALUE"""),"PCM")</f>
        <v>PCM</v>
      </c>
      <c r="N233" s="19" t="str">
        <f>IFERROR(__xludf.DUMMYFUNCTION("""COMPUTED_VALUE"""),"PRIORIDAD 1 Q3 2023 OCTUBRE")</f>
        <v>PRIORIDAD 1 Q3 2023 OCTUBRE</v>
      </c>
    </row>
    <row r="234" ht="15.75" customHeight="1">
      <c r="A234" s="19" t="str">
        <f>IFERROR(__xludf.DUMMYFUNCTION("""COMPUTED_VALUE"""),"AB_10213")</f>
        <v>AB_10213</v>
      </c>
      <c r="B234" s="19" t="str">
        <f>IFERROR(__xludf.DUMMYFUNCTION("""COMPUTED_VALUE"""),"AB_10213_B")</f>
        <v>AB_10213_B</v>
      </c>
      <c r="C234" s="19" t="str">
        <f>IFERROR(__xludf.DUMMYFUNCTION("""COMPUTED_VALUE"""),"BI10213")</f>
        <v>BI10213</v>
      </c>
      <c r="D234" s="19" t="str">
        <f>IFERROR(__xludf.DUMMYFUNCTION("""COMPUTED_VALUE"""),"Ruta 5 Rehuen")</f>
        <v>Ruta 5 Rehuen</v>
      </c>
      <c r="E234" s="19" t="str">
        <f>IFERROR(__xludf.DUMMYFUNCTION("""COMPUTED_VALUE"""),"SITIO RFI")</f>
        <v>SITIO RFI</v>
      </c>
      <c r="F234" s="19" t="str">
        <f>IFERROR(__xludf.DUMMYFUNCTION("""COMPUTED_VALUE"""),"RFI")</f>
        <v>RFI</v>
      </c>
      <c r="G234" s="19" t="str">
        <f>IFERROR(__xludf.DUMMYFUNCTION("""COMPUTED_VALUE"""),"CV54")</f>
        <v>CV54</v>
      </c>
      <c r="H234" s="19" t="str">
        <f>IFERROR(__xludf.DUMMYFUNCTION("""COMPUTED_VALUE"""),"AJ")</f>
        <v>AJ</v>
      </c>
      <c r="I234" s="19" t="str">
        <f>IFERROR(__xludf.DUMMYFUNCTION("""COMPUTED_VALUE"""),"Entregada")</f>
        <v>Entregada</v>
      </c>
      <c r="J234" s="20">
        <f>IFERROR(__xludf.DUMMYFUNCTION("""COMPUTED_VALUE"""),44771.0)</f>
        <v>44771</v>
      </c>
      <c r="K234" s="19" t="str">
        <f>IFERROR(__xludf.DUMMYFUNCTION("""COMPUTED_VALUE"""),"Entregada")</f>
        <v>Entregada</v>
      </c>
      <c r="L234" s="20">
        <f>IFERROR(__xludf.DUMMYFUNCTION("""COMPUTED_VALUE"""),44841.0)</f>
        <v>44841</v>
      </c>
      <c r="M234" s="19" t="str">
        <f>IFERROR(__xludf.DUMMYFUNCTION("""COMPUTED_VALUE"""),"PCM")</f>
        <v>PCM</v>
      </c>
      <c r="N234" s="19" t="str">
        <f>IFERROR(__xludf.DUMMYFUNCTION("""COMPUTED_VALUE"""),"PRIORIDAD 1 Q3 2023 OCTUBRE")</f>
        <v>PRIORIDAD 1 Q3 2023 OCTUBRE</v>
      </c>
    </row>
    <row r="235" ht="15.75" customHeight="1">
      <c r="A235" s="19" t="str">
        <f>IFERROR(__xludf.DUMMYFUNCTION("""COMPUTED_VALUE"""),"AB_10221")</f>
        <v>AB_10221</v>
      </c>
      <c r="B235" s="19" t="str">
        <f>IFERROR(__xludf.DUMMYFUNCTION("""COMPUTED_VALUE"""),"AB_10221_A")</f>
        <v>AB_10221_A</v>
      </c>
      <c r="C235" s="19" t="str">
        <f>IFERROR(__xludf.DUMMYFUNCTION("""COMPUTED_VALUE"""),"BI10221")</f>
        <v>BI10221</v>
      </c>
      <c r="D235" s="19" t="str">
        <f>IFERROR(__xludf.DUMMYFUNCTION("""COMPUTED_VALUE"""),"Praderas de Chome")</f>
        <v>Praderas de Chome</v>
      </c>
      <c r="E235" s="19" t="str">
        <f>IFERROR(__xludf.DUMMYFUNCTION("""COMPUTED_VALUE"""),"DETENIDO EN PROCESO LDA")</f>
        <v>DETENIDO EN PROCESO LDA</v>
      </c>
      <c r="F235" s="19"/>
      <c r="G235" s="19" t="str">
        <f>IFERROR(__xludf.DUMMYFUNCTION("""COMPUTED_VALUE"""),"MP R40")</f>
        <v>MP R40</v>
      </c>
      <c r="H235" s="19" t="str">
        <f>IFERROR(__xludf.DUMMYFUNCTION("""COMPUTED_VALUE"""),"COMPRAS")</f>
        <v>COMPRAS</v>
      </c>
      <c r="I235" s="19"/>
      <c r="J235" s="19"/>
      <c r="K235" s="19"/>
      <c r="L235" s="19"/>
      <c r="M235" s="19" t="str">
        <f>IFERROR(__xludf.DUMMYFUNCTION("""COMPUTED_VALUE"""),"PCM")</f>
        <v>PCM</v>
      </c>
      <c r="N235" s="19" t="str">
        <f>IFERROR(__xludf.DUMMYFUNCTION("""COMPUTED_VALUE"""),"PRIORIDAD 3 Q1 2024 MARZO")</f>
        <v>PRIORIDAD 3 Q1 2024 MARZO</v>
      </c>
    </row>
    <row r="236" ht="15.75" customHeight="1">
      <c r="A236" s="19" t="str">
        <f>IFERROR(__xludf.DUMMYFUNCTION("""COMPUTED_VALUE"""),"AB_10284")</f>
        <v>AB_10284</v>
      </c>
      <c r="B236" s="19" t="str">
        <f>IFERROR(__xludf.DUMMYFUNCTION("""COMPUTED_VALUE"""),"AB_10284_F")</f>
        <v>AB_10284_F</v>
      </c>
      <c r="C236" s="19" t="str">
        <f>IFERROR(__xludf.DUMMYFUNCTION("""COMPUTED_VALUE"""),"BI10284")</f>
        <v>BI10284</v>
      </c>
      <c r="D236" s="19" t="str">
        <f>IFERROR(__xludf.DUMMYFUNCTION("""COMPUTED_VALUE"""),"Puerto San Vicente 5G_2")</f>
        <v>Puerto San Vicente 5G_2</v>
      </c>
      <c r="E236" s="19" t="str">
        <f>IFERROR(__xludf.DUMMYFUNCTION("""COMPUTED_VALUE"""),"SITIO RFC")</f>
        <v>SITIO RFC</v>
      </c>
      <c r="F236" s="19"/>
      <c r="G236" s="19" t="str">
        <f>IFERROR(__xludf.DUMMYFUNCTION("""COMPUTED_VALUE"""),"AZOTEA")</f>
        <v>AZOTEA</v>
      </c>
      <c r="H236" s="19" t="str">
        <f>IFERROR(__xludf.DUMMYFUNCTION("""COMPUTED_VALUE"""),"x")</f>
        <v>x</v>
      </c>
      <c r="I236" s="19" t="str">
        <f>IFERROR(__xludf.DUMMYFUNCTION("""COMPUTED_VALUE"""),"x")</f>
        <v>x</v>
      </c>
      <c r="J236" s="20" t="str">
        <f>IFERROR(__xludf.DUMMYFUNCTION("""COMPUTED_VALUE"""),"x")</f>
        <v>x</v>
      </c>
      <c r="K236" s="19" t="str">
        <f>IFERROR(__xludf.DUMMYFUNCTION("""COMPUTED_VALUE"""),"x")</f>
        <v>x</v>
      </c>
      <c r="L236" s="20" t="str">
        <f>IFERROR(__xludf.DUMMYFUNCTION("""COMPUTED_VALUE"""),"x")</f>
        <v>x</v>
      </c>
      <c r="M236" s="19" t="str">
        <f>IFERROR(__xludf.DUMMYFUNCTION("""COMPUTED_VALUE"""),"PCM")</f>
        <v>PCM</v>
      </c>
      <c r="N236" s="19" t="str">
        <f>IFERROR(__xludf.DUMMYFUNCTION("""COMPUTED_VALUE"""),"PRIORIDAD 1 Q3 2023 OCTUBRE")</f>
        <v>PRIORIDAD 1 Q3 2023 OCTUBRE</v>
      </c>
    </row>
    <row r="237" ht="15.75" customHeight="1">
      <c r="A237" s="19" t="str">
        <f>IFERROR(__xludf.DUMMYFUNCTION("""COMPUTED_VALUE"""),"AB_10285")</f>
        <v>AB_10285</v>
      </c>
      <c r="B237" s="19" t="str">
        <f>IFERROR(__xludf.DUMMYFUNCTION("""COMPUTED_VALUE"""),"AB_10285_B")</f>
        <v>AB_10285_B</v>
      </c>
      <c r="C237" s="19" t="str">
        <f>IFERROR(__xludf.DUMMYFUNCTION("""COMPUTED_VALUE"""),"BI10285")</f>
        <v>BI10285</v>
      </c>
      <c r="D237" s="19" t="str">
        <f>IFERROR(__xludf.DUMMYFUNCTION("""COMPUTED_VALUE"""),"Puerto Talcahuano 5G")</f>
        <v>Puerto Talcahuano 5G</v>
      </c>
      <c r="E237" s="19" t="str">
        <f>IFERROR(__xludf.DUMMYFUNCTION("""COMPUTED_VALUE"""),"SITIO EN CONSTRUCCION")</f>
        <v>SITIO EN CONSTRUCCION</v>
      </c>
      <c r="F237" s="19" t="str">
        <f>IFERROR(__xludf.DUMMYFUNCTION("""COMPUTED_VALUE"""),"EMPLANTILLADO")</f>
        <v>EMPLANTILLADO</v>
      </c>
      <c r="G237" s="19" t="str">
        <f>IFERROR(__xludf.DUMMYFUNCTION("""COMPUTED_VALUE"""),"MP R12")</f>
        <v>MP R12</v>
      </c>
      <c r="H237" s="19" t="str">
        <f>IFERROR(__xludf.DUMMYFUNCTION("""COMPUTED_VALUE"""),"DEITEL")</f>
        <v>DEITEL</v>
      </c>
      <c r="I237" s="19" t="str">
        <f>IFERROR(__xludf.DUMMYFUNCTION("""COMPUTED_VALUE"""),"Entregada")</f>
        <v>Entregada</v>
      </c>
      <c r="J237" s="20">
        <f>IFERROR(__xludf.DUMMYFUNCTION("""COMPUTED_VALUE"""),44953.0)</f>
        <v>44953</v>
      </c>
      <c r="K237" s="19" t="str">
        <f>IFERROR(__xludf.DUMMYFUNCTION("""COMPUTED_VALUE"""),"Entregada")</f>
        <v>Entregada</v>
      </c>
      <c r="L237" s="20">
        <f>IFERROR(__xludf.DUMMYFUNCTION("""COMPUTED_VALUE"""),44983.0)</f>
        <v>44983</v>
      </c>
      <c r="M237" s="19" t="str">
        <f>IFERROR(__xludf.DUMMYFUNCTION("""COMPUTED_VALUE"""),"PP")</f>
        <v>PP</v>
      </c>
      <c r="N237" s="19" t="str">
        <f>IFERROR(__xludf.DUMMYFUNCTION("""COMPUTED_VALUE"""),"PRIORIDAD 1 Q3 2023 OCTUBRE")</f>
        <v>PRIORIDAD 1 Q3 2023 OCTUBRE</v>
      </c>
    </row>
    <row r="238" ht="15.75" customHeight="1">
      <c r="A238" s="19" t="str">
        <f>IFERROR(__xludf.DUMMYFUNCTION("""COMPUTED_VALUE"""),"AB_10286")</f>
        <v>AB_10286</v>
      </c>
      <c r="B238" s="19" t="str">
        <f>IFERROR(__xludf.DUMMYFUNCTION("""COMPUTED_VALUE"""),"AB_10286_C")</f>
        <v>AB_10286_C</v>
      </c>
      <c r="C238" s="19" t="str">
        <f>IFERROR(__xludf.DUMMYFUNCTION("""COMPUTED_VALUE"""),"BI10286")</f>
        <v>BI10286</v>
      </c>
      <c r="D238" s="19" t="str">
        <f>IFERROR(__xludf.DUMMYFUNCTION("""COMPUTED_VALUE"""),"Cerro Marihuen Puerto")</f>
        <v>Cerro Marihuen Puerto</v>
      </c>
      <c r="E238" s="19" t="str">
        <f>IFERROR(__xludf.DUMMYFUNCTION("""COMPUTED_VALUE"""),"SITIO CONSTRUIDO")</f>
        <v>SITIO CONSTRUIDO</v>
      </c>
      <c r="F238" s="19"/>
      <c r="G238" s="19" t="str">
        <f>IFERROR(__xludf.DUMMYFUNCTION("""COMPUTED_VALUE"""),"MP R30")</f>
        <v>MP R30</v>
      </c>
      <c r="H238" s="19" t="str">
        <f>IFERROR(__xludf.DUMMYFUNCTION("""COMPUTED_VALUE"""),"")</f>
        <v/>
      </c>
      <c r="I238" s="19" t="str">
        <f>IFERROR(__xludf.DUMMYFUNCTION("""COMPUTED_VALUE"""),"")</f>
        <v/>
      </c>
      <c r="J238" s="20" t="str">
        <f>IFERROR(__xludf.DUMMYFUNCTION("""COMPUTED_VALUE"""),"")</f>
        <v/>
      </c>
      <c r="K238" s="19" t="str">
        <f>IFERROR(__xludf.DUMMYFUNCTION("""COMPUTED_VALUE"""),"")</f>
        <v/>
      </c>
      <c r="L238" s="20" t="str">
        <f>IFERROR(__xludf.DUMMYFUNCTION("""COMPUTED_VALUE"""),"")</f>
        <v/>
      </c>
      <c r="M238" s="19" t="str">
        <f>IFERROR(__xludf.DUMMYFUNCTION("""COMPUTED_VALUE"""),"PCM")</f>
        <v>PCM</v>
      </c>
      <c r="N238" s="19" t="str">
        <f>IFERROR(__xludf.DUMMYFUNCTION("""COMPUTED_VALUE"""),"PRIORIDAD 1 Q3 2023 OCTUBRE")</f>
        <v>PRIORIDAD 1 Q3 2023 OCTUBRE</v>
      </c>
    </row>
    <row r="239" ht="15.75" customHeight="1">
      <c r="A239" s="19" t="str">
        <f>IFERROR(__xludf.DUMMYFUNCTION("""COMPUTED_VALUE"""),"AB_10313")</f>
        <v>AB_10313</v>
      </c>
      <c r="B239" s="19" t="str">
        <f>IFERROR(__xludf.DUMMYFUNCTION("""COMPUTED_VALUE"""),"AB_10313_A")</f>
        <v>AB_10313_A</v>
      </c>
      <c r="C239" s="19" t="str">
        <f>IFERROR(__xludf.DUMMYFUNCTION("""COMPUTED_VALUE"""),"BI10313")</f>
        <v>BI10313</v>
      </c>
      <c r="D239" s="19" t="str">
        <f>IFERROR(__xludf.DUMMYFUNCTION("""COMPUTED_VALUE"""),"Estero Retamo Florida")</f>
        <v>Estero Retamo Florida</v>
      </c>
      <c r="E239" s="19" t="str">
        <f>IFERROR(__xludf.DUMMYFUNCTION("""COMPUTED_VALUE"""),"SITIO RFI")</f>
        <v>SITIO RFI</v>
      </c>
      <c r="F239" s="19" t="str">
        <f>IFERROR(__xludf.DUMMYFUNCTION("""COMPUTED_VALUE"""),"RFI")</f>
        <v>RFI</v>
      </c>
      <c r="G239" s="19" t="str">
        <f>IFERROR(__xludf.DUMMYFUNCTION("""COMPUTED_VALUE"""),"AS60")</f>
        <v>AS60</v>
      </c>
      <c r="H239" s="19" t="str">
        <f>IFERROR(__xludf.DUMMYFUNCTION("""COMPUTED_VALUE"""),"AJ")</f>
        <v>AJ</v>
      </c>
      <c r="I239" s="19" t="str">
        <f>IFERROR(__xludf.DUMMYFUNCTION("""COMPUTED_VALUE"""),"Entregada")</f>
        <v>Entregada</v>
      </c>
      <c r="J239" s="20">
        <f>IFERROR(__xludf.DUMMYFUNCTION("""COMPUTED_VALUE"""),44643.0)</f>
        <v>44643</v>
      </c>
      <c r="K239" s="19" t="str">
        <f>IFERROR(__xludf.DUMMYFUNCTION("""COMPUTED_VALUE"""),"Entregada")</f>
        <v>Entregada</v>
      </c>
      <c r="L239" s="20">
        <f>IFERROR(__xludf.DUMMYFUNCTION("""COMPUTED_VALUE"""),44699.0)</f>
        <v>44699</v>
      </c>
      <c r="M239" s="19" t="str">
        <f>IFERROR(__xludf.DUMMYFUNCTION("""COMPUTED_VALUE"""),"PCM")</f>
        <v>PCM</v>
      </c>
      <c r="N239" s="19" t="str">
        <f>IFERROR(__xludf.DUMMYFUNCTION("""COMPUTED_VALUE"""),"PRIORIDAD 1 Q3 2023 OCTUBRE")</f>
        <v>PRIORIDAD 1 Q3 2023 OCTUBRE</v>
      </c>
    </row>
    <row r="240" ht="15.75" customHeight="1">
      <c r="A240" s="19" t="str">
        <f>IFERROR(__xludf.DUMMYFUNCTION("""COMPUTED_VALUE"""),"AB_10314")</f>
        <v>AB_10314</v>
      </c>
      <c r="B240" s="19" t="str">
        <f>IFERROR(__xludf.DUMMYFUNCTION("""COMPUTED_VALUE"""),"AB_10314_A")</f>
        <v>AB_10314_A</v>
      </c>
      <c r="C240" s="19" t="str">
        <f>IFERROR(__xludf.DUMMYFUNCTION("""COMPUTED_VALUE"""),"BI10314")</f>
        <v>BI10314</v>
      </c>
      <c r="D240" s="19" t="str">
        <f>IFERROR(__xludf.DUMMYFUNCTION("""COMPUTED_VALUE"""),"Rinconada Santa Juana")</f>
        <v>Rinconada Santa Juana</v>
      </c>
      <c r="E240" s="19" t="str">
        <f>IFERROR(__xludf.DUMMYFUNCTION("""COMPUTED_VALUE"""),"SITIO RFI")</f>
        <v>SITIO RFI</v>
      </c>
      <c r="F240" s="19" t="str">
        <f>IFERROR(__xludf.DUMMYFUNCTION("""COMPUTED_VALUE"""),"RFI")</f>
        <v>RFI</v>
      </c>
      <c r="G240" s="19" t="str">
        <f>IFERROR(__xludf.DUMMYFUNCTION("""COMPUTED_VALUE"""),"AS42")</f>
        <v>AS42</v>
      </c>
      <c r="H240" s="19" t="str">
        <f>IFERROR(__xludf.DUMMYFUNCTION("""COMPUTED_VALUE"""),"MER")</f>
        <v>MER</v>
      </c>
      <c r="I240" s="19" t="str">
        <f>IFERROR(__xludf.DUMMYFUNCTION("""COMPUTED_VALUE"""),"Entregada")</f>
        <v>Entregada</v>
      </c>
      <c r="J240" s="20">
        <f>IFERROR(__xludf.DUMMYFUNCTION("""COMPUTED_VALUE"""),44666.0)</f>
        <v>44666</v>
      </c>
      <c r="K240" s="19" t="str">
        <f>IFERROR(__xludf.DUMMYFUNCTION("""COMPUTED_VALUE"""),"Entregada")</f>
        <v>Entregada</v>
      </c>
      <c r="L240" s="20">
        <f>IFERROR(__xludf.DUMMYFUNCTION("""COMPUTED_VALUE"""),44742.0)</f>
        <v>44742</v>
      </c>
      <c r="M240" s="19" t="str">
        <f>IFERROR(__xludf.DUMMYFUNCTION("""COMPUTED_VALUE"""),"PCM")</f>
        <v>PCM</v>
      </c>
      <c r="N240" s="19" t="str">
        <f>IFERROR(__xludf.DUMMYFUNCTION("""COMPUTED_VALUE"""),"PRIORIDAD 1 Q3 2023 OCTUBRE")</f>
        <v>PRIORIDAD 1 Q3 2023 OCTUBRE</v>
      </c>
    </row>
    <row r="241" ht="15.75" customHeight="1">
      <c r="A241" s="19" t="str">
        <f>IFERROR(__xludf.DUMMYFUNCTION("""COMPUTED_VALUE"""),"AB_1055")</f>
        <v>AB_1055</v>
      </c>
      <c r="B241" s="19" t="str">
        <f>IFERROR(__xludf.DUMMYFUNCTION("""COMPUTED_VALUE"""),"AB_1055_A")</f>
        <v>AB_1055_A</v>
      </c>
      <c r="C241" s="19" t="str">
        <f>IFERROR(__xludf.DUMMYFUNCTION("""COMPUTED_VALUE"""),"BI1055")</f>
        <v>BI1055</v>
      </c>
      <c r="D241" s="19" t="str">
        <f>IFERROR(__xludf.DUMMYFUNCTION("""COMPUTED_VALUE"""),"Isla Quiriquina")</f>
        <v>Isla Quiriquina</v>
      </c>
      <c r="E241" s="19" t="str">
        <f>IFERROR(__xludf.DUMMYFUNCTION("""COMPUTED_VALUE"""),"SITIO PENDIENTE")</f>
        <v>SITIO PENDIENTE</v>
      </c>
      <c r="F241" s="19"/>
      <c r="G241" s="19" t="str">
        <f>IFERROR(__xludf.DUMMYFUNCTION("""COMPUTED_VALUE"""),"CV60")</f>
        <v>CV60</v>
      </c>
      <c r="H241" s="19" t="str">
        <f>IFERROR(__xludf.DUMMYFUNCTION("""COMPUTED_VALUE"""),"")</f>
        <v/>
      </c>
      <c r="I241" s="19" t="str">
        <f>IFERROR(__xludf.DUMMYFUNCTION("""COMPUTED_VALUE"""),"")</f>
        <v/>
      </c>
      <c r="J241" s="20" t="str">
        <f>IFERROR(__xludf.DUMMYFUNCTION("""COMPUTED_VALUE"""),"")</f>
        <v/>
      </c>
      <c r="K241" s="19" t="str">
        <f>IFERROR(__xludf.DUMMYFUNCTION("""COMPUTED_VALUE"""),"")</f>
        <v/>
      </c>
      <c r="L241" s="20" t="str">
        <f>IFERROR(__xludf.DUMMYFUNCTION("""COMPUTED_VALUE"""),"")</f>
        <v/>
      </c>
      <c r="M241" s="19" t="str">
        <f>IFERROR(__xludf.DUMMYFUNCTION("""COMPUTED_VALUE"""),"PCM")</f>
        <v>PCM</v>
      </c>
      <c r="N241" s="19" t="str">
        <f>IFERROR(__xludf.DUMMYFUNCTION("""COMPUTED_VALUE"""),"PRIORIDAD 3 Q1 2024 MARZO")</f>
        <v>PRIORIDAD 3 Q1 2024 MARZO</v>
      </c>
    </row>
    <row r="242" ht="15.75" customHeight="1">
      <c r="A242" s="19" t="str">
        <f>IFERROR(__xludf.DUMMYFUNCTION("""COMPUTED_VALUE"""),"AB_10631")</f>
        <v>AB_10631</v>
      </c>
      <c r="B242" s="19" t="str">
        <f>IFERROR(__xludf.DUMMYFUNCTION("""COMPUTED_VALUE"""),"AB_10631_B")</f>
        <v>AB_10631_B</v>
      </c>
      <c r="C242" s="19" t="str">
        <f>IFERROR(__xludf.DUMMYFUNCTION("""COMPUTED_VALUE"""),"BI10631")</f>
        <v>BI10631</v>
      </c>
      <c r="D242" s="19" t="str">
        <f>IFERROR(__xludf.DUMMYFUNCTION("""COMPUTED_VALUE"""),"Los Avellanos Contulmo")</f>
        <v>Los Avellanos Contulmo</v>
      </c>
      <c r="E242" s="19" t="str">
        <f>IFERROR(__xludf.DUMMYFUNCTION("""COMPUTED_VALUE"""),"SITIO EN CONSTRUCCION")</f>
        <v>SITIO EN CONSTRUCCION</v>
      </c>
      <c r="F242" s="19" t="str">
        <f>IFERROR(__xludf.DUMMYFUNCTION("""COMPUTED_VALUE"""),"MONTAJE")</f>
        <v>MONTAJE</v>
      </c>
      <c r="G242" s="19" t="str">
        <f>IFERROR(__xludf.DUMMYFUNCTION("""COMPUTED_VALUE"""),"AS48")</f>
        <v>AS48</v>
      </c>
      <c r="H242" s="19" t="str">
        <f>IFERROR(__xludf.DUMMYFUNCTION("""COMPUTED_VALUE"""),"ADM")</f>
        <v>ADM</v>
      </c>
      <c r="I242" s="19" t="str">
        <f>IFERROR(__xludf.DUMMYFUNCTION("""COMPUTED_VALUE"""),"Terminada")</f>
        <v>Terminada</v>
      </c>
      <c r="J242" s="20">
        <f>IFERROR(__xludf.DUMMYFUNCTION("""COMPUTED_VALUE"""),44750.0)</f>
        <v>44750</v>
      </c>
      <c r="K242" s="19" t="str">
        <f>IFERROR(__xludf.DUMMYFUNCTION("""COMPUTED_VALUE"""),"Terminada")</f>
        <v>Terminada</v>
      </c>
      <c r="L242" s="20">
        <f>IFERROR(__xludf.DUMMYFUNCTION("""COMPUTED_VALUE"""),44890.0)</f>
        <v>44890</v>
      </c>
      <c r="M242" s="19" t="str">
        <f>IFERROR(__xludf.DUMMYFUNCTION("""COMPUTED_VALUE"""),"PCM")</f>
        <v>PCM</v>
      </c>
      <c r="N242" s="19" t="str">
        <f>IFERROR(__xludf.DUMMYFUNCTION("""COMPUTED_VALUE"""),"PRIORIDAD 1 Q3 2023 OCTUBRE")</f>
        <v>PRIORIDAD 1 Q3 2023 OCTUBRE</v>
      </c>
    </row>
    <row r="243" ht="15.75" customHeight="1">
      <c r="A243" s="19" t="str">
        <f>IFERROR(__xludf.DUMMYFUNCTION("""COMPUTED_VALUE"""),"AB_10660")</f>
        <v>AB_10660</v>
      </c>
      <c r="B243" s="19" t="str">
        <f>IFERROR(__xludf.DUMMYFUNCTION("""COMPUTED_VALUE"""),"AB_10660_D")</f>
        <v>AB_10660_D</v>
      </c>
      <c r="C243" s="19" t="str">
        <f>IFERROR(__xludf.DUMMYFUNCTION("""COMPUTED_VALUE"""),"BI10660")</f>
        <v>BI10660</v>
      </c>
      <c r="D243" s="19" t="str">
        <f>IFERROR(__xludf.DUMMYFUNCTION("""COMPUTED_VALUE"""),"Monteaguila RU")</f>
        <v>Monteaguila RU</v>
      </c>
      <c r="E243" s="19" t="str">
        <f>IFERROR(__xludf.DUMMYFUNCTION("""COMPUTED_VALUE"""),"SITIO RFI")</f>
        <v>SITIO RFI</v>
      </c>
      <c r="F243" s="19" t="str">
        <f>IFERROR(__xludf.DUMMYFUNCTION("""COMPUTED_VALUE"""),"RFI")</f>
        <v>RFI</v>
      </c>
      <c r="G243" s="19" t="str">
        <f>IFERROR(__xludf.DUMMYFUNCTION("""COMPUTED_VALUE"""),"CV48")</f>
        <v>CV48</v>
      </c>
      <c r="H243" s="19" t="str">
        <f>IFERROR(__xludf.DUMMYFUNCTION("""COMPUTED_VALUE"""),"JTI")</f>
        <v>JTI</v>
      </c>
      <c r="I243" s="19" t="str">
        <f>IFERROR(__xludf.DUMMYFUNCTION("""COMPUTED_VALUE"""),"Entregada")</f>
        <v>Entregada</v>
      </c>
      <c r="J243" s="20">
        <f>IFERROR(__xludf.DUMMYFUNCTION("""COMPUTED_VALUE"""),44859.0)</f>
        <v>44859</v>
      </c>
      <c r="K243" s="19" t="str">
        <f>IFERROR(__xludf.DUMMYFUNCTION("""COMPUTED_VALUE"""),"Entregada")</f>
        <v>Entregada</v>
      </c>
      <c r="L243" s="20">
        <f>IFERROR(__xludf.DUMMYFUNCTION("""COMPUTED_VALUE"""),44771.0)</f>
        <v>44771</v>
      </c>
      <c r="M243" s="19" t="str">
        <f>IFERROR(__xludf.DUMMYFUNCTION("""COMPUTED_VALUE"""),"PCM_4")</f>
        <v>PCM_4</v>
      </c>
      <c r="N243" s="19" t="str">
        <f>IFERROR(__xludf.DUMMYFUNCTION("""COMPUTED_VALUE"""),"PCM_5")</f>
        <v>PCM_5</v>
      </c>
    </row>
    <row r="244" ht="15.75" customHeight="1">
      <c r="A244" s="19" t="str">
        <f>IFERROR(__xludf.DUMMYFUNCTION("""COMPUTED_VALUE"""),"AB_10661")</f>
        <v>AB_10661</v>
      </c>
      <c r="B244" s="19" t="str">
        <f>IFERROR(__xludf.DUMMYFUNCTION("""COMPUTED_VALUE"""),"AB_10661_D")</f>
        <v>AB_10661_D</v>
      </c>
      <c r="C244" s="19" t="str">
        <f>IFERROR(__xludf.DUMMYFUNCTION("""COMPUTED_VALUE"""),"BI10661")</f>
        <v>BI10661</v>
      </c>
      <c r="D244" s="19" t="str">
        <f>IFERROR(__xludf.DUMMYFUNCTION("""COMPUTED_VALUE"""),"Yumbel Estacion RU1")</f>
        <v>Yumbel Estacion RU1</v>
      </c>
      <c r="E244" s="19" t="str">
        <f>IFERROR(__xludf.DUMMYFUNCTION("""COMPUTED_VALUE"""),"SITIO RFI")</f>
        <v>SITIO RFI</v>
      </c>
      <c r="F244" s="19" t="str">
        <f>IFERROR(__xludf.DUMMYFUNCTION("""COMPUTED_VALUE"""),"RFI")</f>
        <v>RFI</v>
      </c>
      <c r="G244" s="19" t="str">
        <f>IFERROR(__xludf.DUMMYFUNCTION("""COMPUTED_VALUE"""),"CV60")</f>
        <v>CV60</v>
      </c>
      <c r="H244" s="19" t="str">
        <f>IFERROR(__xludf.DUMMYFUNCTION("""COMPUTED_VALUE"""),"DEPROMET")</f>
        <v>DEPROMET</v>
      </c>
      <c r="I244" s="19" t="str">
        <f>IFERROR(__xludf.DUMMYFUNCTION("""COMPUTED_VALUE"""),"Entregada")</f>
        <v>Entregada</v>
      </c>
      <c r="J244" s="20">
        <f>IFERROR(__xludf.DUMMYFUNCTION("""COMPUTED_VALUE"""),44708.0)</f>
        <v>44708</v>
      </c>
      <c r="K244" s="19" t="str">
        <f>IFERROR(__xludf.DUMMYFUNCTION("""COMPUTED_VALUE"""),"Entregada")</f>
        <v>Entregada</v>
      </c>
      <c r="L244" s="20">
        <f>IFERROR(__xludf.DUMMYFUNCTION("""COMPUTED_VALUE"""),44722.0)</f>
        <v>44722</v>
      </c>
      <c r="M244" s="19" t="str">
        <f>IFERROR(__xludf.DUMMYFUNCTION("""COMPUTED_VALUE"""),"PCM_5")</f>
        <v>PCM_5</v>
      </c>
      <c r="N244" s="19" t="str">
        <f>IFERROR(__xludf.DUMMYFUNCTION("""COMPUTED_VALUE"""),"PCM_5")</f>
        <v>PCM_5</v>
      </c>
    </row>
    <row r="245" ht="15.75" customHeight="1">
      <c r="A245" s="19" t="str">
        <f>IFERROR(__xludf.DUMMYFUNCTION("""COMPUTED_VALUE"""),"AB_11175")</f>
        <v>AB_11175</v>
      </c>
      <c r="B245" s="19" t="str">
        <f>IFERROR(__xludf.DUMMYFUNCTION("""COMPUTED_VALUE"""),"AB_11175_C")</f>
        <v>AB_11175_C</v>
      </c>
      <c r="C245" s="19" t="str">
        <f>IFERROR(__xludf.DUMMYFUNCTION("""COMPUTED_VALUE"""),"BI11175")</f>
        <v>BI11175</v>
      </c>
      <c r="D245" s="19" t="str">
        <f>IFERROR(__xludf.DUMMYFUNCTION("""COMPUTED_VALUE"""),"RPT Cauñicú")</f>
        <v>RPT Cauñicú</v>
      </c>
      <c r="E245" s="19" t="str">
        <f>IFERROR(__xludf.DUMMYFUNCTION("""COMPUTED_VALUE"""),"DETENIDO COMPRA ESTRUCTURA")</f>
        <v>DETENIDO COMPRA ESTRUCTURA</v>
      </c>
      <c r="F245" s="19"/>
      <c r="G245" s="19" t="str">
        <f>IFERROR(__xludf.DUMMYFUNCTION("""COMPUTED_VALUE"""),"CV60")</f>
        <v>CV60</v>
      </c>
      <c r="H245" s="19" t="str">
        <f>IFERROR(__xludf.DUMMYFUNCTION("""COMPUTED_VALUE"""),"")</f>
        <v/>
      </c>
      <c r="I245" s="19" t="str">
        <f>IFERROR(__xludf.DUMMYFUNCTION("""COMPUTED_VALUE"""),"")</f>
        <v/>
      </c>
      <c r="J245" s="20" t="str">
        <f>IFERROR(__xludf.DUMMYFUNCTION("""COMPUTED_VALUE"""),"")</f>
        <v/>
      </c>
      <c r="K245" s="19" t="str">
        <f>IFERROR(__xludf.DUMMYFUNCTION("""COMPUTED_VALUE"""),"")</f>
        <v/>
      </c>
      <c r="L245" s="20" t="str">
        <f>IFERROR(__xludf.DUMMYFUNCTION("""COMPUTED_VALUE"""),"")</f>
        <v/>
      </c>
      <c r="M245" s="19" t="str">
        <f>IFERROR(__xludf.DUMMYFUNCTION("""COMPUTED_VALUE"""),"PCM_3")</f>
        <v>PCM_3</v>
      </c>
      <c r="N245" s="19" t="str">
        <f>IFERROR(__xludf.DUMMYFUNCTION("""COMPUTED_VALUE"""),"PRIORIDAD 3 Q1 2024 MARZO")</f>
        <v>PRIORIDAD 3 Q1 2024 MARZO</v>
      </c>
    </row>
    <row r="246" ht="15.75" customHeight="1">
      <c r="A246" s="19" t="str">
        <f>IFERROR(__xludf.DUMMYFUNCTION("""COMPUTED_VALUE"""),"AB_11176")</f>
        <v>AB_11176</v>
      </c>
      <c r="B246" s="19" t="str">
        <f>IFERROR(__xludf.DUMMYFUNCTION("""COMPUTED_VALUE"""),"AB_11176_A")</f>
        <v>AB_11176_A</v>
      </c>
      <c r="C246" s="19" t="str">
        <f>IFERROR(__xludf.DUMMYFUNCTION("""COMPUTED_VALUE"""),"BI11176")</f>
        <v>BI11176</v>
      </c>
      <c r="D246" s="19" t="str">
        <f>IFERROR(__xludf.DUMMYFUNCTION("""COMPUTED_VALUE"""),"RPT Valle del Queuco")</f>
        <v>RPT Valle del Queuco</v>
      </c>
      <c r="E246" s="19" t="str">
        <f>IFERROR(__xludf.DUMMYFUNCTION("""COMPUTED_VALUE"""),"DETENIDO COMPRA ESTRUCTURA")</f>
        <v>DETENIDO COMPRA ESTRUCTURA</v>
      </c>
      <c r="F246" s="19"/>
      <c r="G246" s="19" t="str">
        <f>IFERROR(__xludf.DUMMYFUNCTION("""COMPUTED_VALUE"""),"CV60")</f>
        <v>CV60</v>
      </c>
      <c r="H246" s="19" t="str">
        <f>IFERROR(__xludf.DUMMYFUNCTION("""COMPUTED_VALUE"""),"")</f>
        <v/>
      </c>
      <c r="I246" s="19" t="str">
        <f>IFERROR(__xludf.DUMMYFUNCTION("""COMPUTED_VALUE"""),"")</f>
        <v/>
      </c>
      <c r="J246" s="20" t="str">
        <f>IFERROR(__xludf.DUMMYFUNCTION("""COMPUTED_VALUE"""),"")</f>
        <v/>
      </c>
      <c r="K246" s="19" t="str">
        <f>IFERROR(__xludf.DUMMYFUNCTION("""COMPUTED_VALUE"""),"")</f>
        <v/>
      </c>
      <c r="L246" s="20" t="str">
        <f>IFERROR(__xludf.DUMMYFUNCTION("""COMPUTED_VALUE"""),"")</f>
        <v/>
      </c>
      <c r="M246" s="19" t="str">
        <f>IFERROR(__xludf.DUMMYFUNCTION("""COMPUTED_VALUE"""),"PCM_3")</f>
        <v>PCM_3</v>
      </c>
      <c r="N246" s="19" t="str">
        <f>IFERROR(__xludf.DUMMYFUNCTION("""COMPUTED_VALUE"""),"PRIORIDAD 3 Q1 2024 MARZO")</f>
        <v>PRIORIDAD 3 Q1 2024 MARZO</v>
      </c>
    </row>
    <row r="247" ht="15.75" customHeight="1">
      <c r="A247" s="19" t="str">
        <f>IFERROR(__xludf.DUMMYFUNCTION("""COMPUTED_VALUE"""),"AB_11303")</f>
        <v>AB_11303</v>
      </c>
      <c r="B247" s="19" t="str">
        <f>IFERROR(__xludf.DUMMYFUNCTION("""COMPUTED_VALUE"""),"AB_11303_B")</f>
        <v>AB_11303_B</v>
      </c>
      <c r="C247" s="19" t="str">
        <f>IFERROR(__xludf.DUMMYFUNCTION("""COMPUTED_VALUE"""),"BI11303")</f>
        <v>BI11303</v>
      </c>
      <c r="D247" s="19" t="str">
        <f>IFERROR(__xludf.DUMMYFUNCTION("""COMPUTED_VALUE"""),"Santa Barbara Norte 2")</f>
        <v>Santa Barbara Norte 2</v>
      </c>
      <c r="E247" s="19" t="str">
        <f>IFERROR(__xludf.DUMMYFUNCTION("""COMPUTED_VALUE"""),"SITIO RFI")</f>
        <v>SITIO RFI</v>
      </c>
      <c r="F247" s="19" t="str">
        <f>IFERROR(__xludf.DUMMYFUNCTION("""COMPUTED_VALUE"""),"RFI")</f>
        <v>RFI</v>
      </c>
      <c r="G247" s="19" t="str">
        <f>IFERROR(__xludf.DUMMYFUNCTION("""COMPUTED_VALUE"""),"CV54")</f>
        <v>CV54</v>
      </c>
      <c r="H247" s="19" t="str">
        <f>IFERROR(__xludf.DUMMYFUNCTION("""COMPUTED_VALUE"""),"DEITEL")</f>
        <v>DEITEL</v>
      </c>
      <c r="I247" s="19" t="str">
        <f>IFERROR(__xludf.DUMMYFUNCTION("""COMPUTED_VALUE"""),"Entregada")</f>
        <v>Entregada</v>
      </c>
      <c r="J247" s="20">
        <f>IFERROR(__xludf.DUMMYFUNCTION("""COMPUTED_VALUE"""),44876.0)</f>
        <v>44876</v>
      </c>
      <c r="K247" s="19" t="str">
        <f>IFERROR(__xludf.DUMMYFUNCTION("""COMPUTED_VALUE"""),"Entregada")</f>
        <v>Entregada</v>
      </c>
      <c r="L247" s="20">
        <f>IFERROR(__xludf.DUMMYFUNCTION("""COMPUTED_VALUE"""),44898.0)</f>
        <v>44898</v>
      </c>
      <c r="M247" s="19" t="str">
        <f>IFERROR(__xludf.DUMMYFUNCTION("""COMPUTED_VALUE"""),"PCM_2")</f>
        <v>PCM_2</v>
      </c>
      <c r="N247" s="19" t="str">
        <f>IFERROR(__xludf.DUMMYFUNCTION("""COMPUTED_VALUE"""),"PRIORIDAD 1 Q3 2023 OCTUBRE")</f>
        <v>PRIORIDAD 1 Q3 2023 OCTUBRE</v>
      </c>
    </row>
    <row r="248" ht="15.75" customHeight="1">
      <c r="A248" s="19" t="str">
        <f>IFERROR(__xludf.DUMMYFUNCTION("""COMPUTED_VALUE"""),"AB_11377")</f>
        <v>AB_11377</v>
      </c>
      <c r="B248" s="19" t="str">
        <f>IFERROR(__xludf.DUMMYFUNCTION("""COMPUTED_VALUE"""),"AB_11377_A")</f>
        <v>AB_11377_A</v>
      </c>
      <c r="C248" s="19" t="str">
        <f>IFERROR(__xludf.DUMMYFUNCTION("""COMPUTED_VALUE"""),"BI11377")</f>
        <v>BI11377</v>
      </c>
      <c r="D248" s="19" t="str">
        <f>IFERROR(__xludf.DUMMYFUNCTION("""COMPUTED_VALUE"""),"Los Pinquis FASA")</f>
        <v>Los Pinquis FASA</v>
      </c>
      <c r="E248" s="19" t="str">
        <f>IFERROR(__xludf.DUMMYFUNCTION("""COMPUTED_VALUE"""),"SITIO RFI")</f>
        <v>SITIO RFI</v>
      </c>
      <c r="F248" s="19" t="str">
        <f>IFERROR(__xludf.DUMMYFUNCTION("""COMPUTED_VALUE"""),"RFI")</f>
        <v>RFI</v>
      </c>
      <c r="G248" s="19" t="str">
        <f>IFERROR(__xludf.DUMMYFUNCTION("""COMPUTED_VALUE"""),"AS36")</f>
        <v>AS36</v>
      </c>
      <c r="H248" s="19" t="str">
        <f>IFERROR(__xludf.DUMMYFUNCTION("""COMPUTED_VALUE"""),"METALING")</f>
        <v>METALING</v>
      </c>
      <c r="I248" s="19" t="str">
        <f>IFERROR(__xludf.DUMMYFUNCTION("""COMPUTED_VALUE"""),"Entregada")</f>
        <v>Entregada</v>
      </c>
      <c r="J248" s="20">
        <f>IFERROR(__xludf.DUMMYFUNCTION("""COMPUTED_VALUE"""),44680.0)</f>
        <v>44680</v>
      </c>
      <c r="K248" s="19" t="str">
        <f>IFERROR(__xludf.DUMMYFUNCTION("""COMPUTED_VALUE"""),"Entregada")</f>
        <v>Entregada</v>
      </c>
      <c r="L248" s="20">
        <f>IFERROR(__xludf.DUMMYFUNCTION("""COMPUTED_VALUE"""),44722.0)</f>
        <v>44722</v>
      </c>
      <c r="M248" s="19" t="str">
        <f>IFERROR(__xludf.DUMMYFUNCTION("""COMPUTED_VALUE"""),"#N/A")</f>
        <v>#N/A</v>
      </c>
      <c r="N248" s="19" t="str">
        <f>IFERROR(__xludf.DUMMYFUNCTION("""COMPUTED_VALUE"""),"x")</f>
        <v>x</v>
      </c>
    </row>
    <row r="249" ht="15.75" customHeight="1">
      <c r="A249" s="19" t="str">
        <f>IFERROR(__xludf.DUMMYFUNCTION("""COMPUTED_VALUE"""),"AB_11446")</f>
        <v>AB_11446</v>
      </c>
      <c r="B249" s="19" t="str">
        <f>IFERROR(__xludf.DUMMYFUNCTION("""COMPUTED_VALUE"""),"AB_11446_A")</f>
        <v>AB_11446_A</v>
      </c>
      <c r="C249" s="19" t="str">
        <f>IFERROR(__xludf.DUMMYFUNCTION("""COMPUTED_VALUE"""),"BI11446")</f>
        <v>BI11446</v>
      </c>
      <c r="D249" s="19" t="str">
        <f>IFERROR(__xludf.DUMMYFUNCTION("""COMPUTED_VALUE"""),"Panguilemu Lebu")</f>
        <v>Panguilemu Lebu</v>
      </c>
      <c r="E249" s="19" t="str">
        <f>IFERROR(__xludf.DUMMYFUNCTION("""COMPUTED_VALUE"""),"SITIO RFI")</f>
        <v>SITIO RFI</v>
      </c>
      <c r="F249" s="19" t="str">
        <f>IFERROR(__xludf.DUMMYFUNCTION("""COMPUTED_VALUE"""),"RFI")</f>
        <v>RFI</v>
      </c>
      <c r="G249" s="19" t="str">
        <f>IFERROR(__xludf.DUMMYFUNCTION("""COMPUTED_VALUE"""),"CV48")</f>
        <v>CV48</v>
      </c>
      <c r="H249" s="19" t="str">
        <f>IFERROR(__xludf.DUMMYFUNCTION("""COMPUTED_VALUE"""),"JTI")</f>
        <v>JTI</v>
      </c>
      <c r="I249" s="19" t="str">
        <f>IFERROR(__xludf.DUMMYFUNCTION("""COMPUTED_VALUE"""),"Entregada")</f>
        <v>Entregada</v>
      </c>
      <c r="J249" s="20">
        <f>IFERROR(__xludf.DUMMYFUNCTION("""COMPUTED_VALUE"""),44859.0)</f>
        <v>44859</v>
      </c>
      <c r="K249" s="19" t="str">
        <f>IFERROR(__xludf.DUMMYFUNCTION("""COMPUTED_VALUE"""),"Entregada")</f>
        <v>Entregada</v>
      </c>
      <c r="L249" s="20">
        <f>IFERROR(__xludf.DUMMYFUNCTION("""COMPUTED_VALUE"""),44894.0)</f>
        <v>44894</v>
      </c>
      <c r="M249" s="19" t="str">
        <f>IFERROR(__xludf.DUMMYFUNCTION("""COMPUTED_VALUE"""),"PCM_2")</f>
        <v>PCM_2</v>
      </c>
      <c r="N249" s="19" t="str">
        <f>IFERROR(__xludf.DUMMYFUNCTION("""COMPUTED_VALUE"""),"PRIORIDAD 1 Q3 2023 OCTUBRE")</f>
        <v>PRIORIDAD 1 Q3 2023 OCTUBRE</v>
      </c>
    </row>
    <row r="250" ht="15.75" customHeight="1">
      <c r="A250" s="19" t="str">
        <f>IFERROR(__xludf.DUMMYFUNCTION("""COMPUTED_VALUE"""),"AB_11447")</f>
        <v>AB_11447</v>
      </c>
      <c r="B250" s="19" t="str">
        <f>IFERROR(__xludf.DUMMYFUNCTION("""COMPUTED_VALUE"""),"AB_11447_A")</f>
        <v>AB_11447_A</v>
      </c>
      <c r="C250" s="19" t="str">
        <f>IFERROR(__xludf.DUMMYFUNCTION("""COMPUTED_VALUE"""),"BI11447")</f>
        <v>BI11447</v>
      </c>
      <c r="D250" s="19" t="str">
        <f>IFERROR(__xludf.DUMMYFUNCTION("""COMPUTED_VALUE"""),"Rio Lebu")</f>
        <v>Rio Lebu</v>
      </c>
      <c r="E250" s="19" t="str">
        <f>IFERROR(__xludf.DUMMYFUNCTION("""COMPUTED_VALUE"""),"SITIO PENDIENTE")</f>
        <v>SITIO PENDIENTE</v>
      </c>
      <c r="F250" s="19"/>
      <c r="G250" s="19" t="str">
        <f>IFERROR(__xludf.DUMMYFUNCTION("""COMPUTED_VALUE"""),"CV36")</f>
        <v>CV36</v>
      </c>
      <c r="H250" s="19" t="str">
        <f>IFERROR(__xludf.DUMMYFUNCTION("""COMPUTED_VALUE"""),"")</f>
        <v/>
      </c>
      <c r="I250" s="19" t="str">
        <f>IFERROR(__xludf.DUMMYFUNCTION("""COMPUTED_VALUE"""),"")</f>
        <v/>
      </c>
      <c r="J250" s="20" t="str">
        <f>IFERROR(__xludf.DUMMYFUNCTION("""COMPUTED_VALUE"""),"")</f>
        <v/>
      </c>
      <c r="K250" s="19" t="str">
        <f>IFERROR(__xludf.DUMMYFUNCTION("""COMPUTED_VALUE"""),"")</f>
        <v/>
      </c>
      <c r="L250" s="20" t="str">
        <f>IFERROR(__xludf.DUMMYFUNCTION("""COMPUTED_VALUE"""),"")</f>
        <v/>
      </c>
      <c r="M250" s="19" t="str">
        <f>IFERROR(__xludf.DUMMYFUNCTION("""COMPUTED_VALUE"""),"PCM_2")</f>
        <v>PCM_2</v>
      </c>
      <c r="N250" s="19" t="str">
        <f>IFERROR(__xludf.DUMMYFUNCTION("""COMPUTED_VALUE"""),"PRIORIDAD 3 Q1 2024 MARZO")</f>
        <v>PRIORIDAD 3 Q1 2024 MARZO</v>
      </c>
    </row>
    <row r="251" ht="15.75" customHeight="1">
      <c r="A251" s="19" t="str">
        <f>IFERROR(__xludf.DUMMYFUNCTION("""COMPUTED_VALUE"""),"AB_11467")</f>
        <v>AB_11467</v>
      </c>
      <c r="B251" s="19" t="str">
        <f>IFERROR(__xludf.DUMMYFUNCTION("""COMPUTED_VALUE"""),"AB_11467_A")</f>
        <v>AB_11467_A</v>
      </c>
      <c r="C251" s="19" t="str">
        <f>IFERROR(__xludf.DUMMYFUNCTION("""COMPUTED_VALUE"""),"BI11467")</f>
        <v>BI11467</v>
      </c>
      <c r="D251" s="19" t="str">
        <f>IFERROR(__xludf.DUMMYFUNCTION("""COMPUTED_VALUE"""),"Cerro La Pepa Oriente")</f>
        <v>Cerro La Pepa Oriente</v>
      </c>
      <c r="E251" s="19" t="str">
        <f>IFERROR(__xludf.DUMMYFUNCTION("""COMPUTED_VALUE"""),"SITIO RFI")</f>
        <v>SITIO RFI</v>
      </c>
      <c r="F251" s="19" t="str">
        <f>IFERROR(__xludf.DUMMYFUNCTION("""COMPUTED_VALUE"""),"RFI")</f>
        <v>RFI</v>
      </c>
      <c r="G251" s="19" t="str">
        <f>IFERROR(__xludf.DUMMYFUNCTION("""COMPUTED_VALUE"""),"CV60")</f>
        <v>CV60</v>
      </c>
      <c r="H251" s="19" t="str">
        <f>IFERROR(__xludf.DUMMYFUNCTION("""COMPUTED_VALUE"""),"ADM")</f>
        <v>ADM</v>
      </c>
      <c r="I251" s="19" t="str">
        <f>IFERROR(__xludf.DUMMYFUNCTION("""COMPUTED_VALUE"""),"Entregada")</f>
        <v>Entregada</v>
      </c>
      <c r="J251" s="20">
        <f>IFERROR(__xludf.DUMMYFUNCTION("""COMPUTED_VALUE"""),44743.0)</f>
        <v>44743</v>
      </c>
      <c r="K251" s="19" t="str">
        <f>IFERROR(__xludf.DUMMYFUNCTION("""COMPUTED_VALUE"""),"Entregada")</f>
        <v>Entregada</v>
      </c>
      <c r="L251" s="20">
        <f>IFERROR(__xludf.DUMMYFUNCTION("""COMPUTED_VALUE"""),44890.0)</f>
        <v>44890</v>
      </c>
      <c r="M251" s="19" t="str">
        <f>IFERROR(__xludf.DUMMYFUNCTION("""COMPUTED_VALUE"""),"PCM_2")</f>
        <v>PCM_2</v>
      </c>
      <c r="N251" s="19" t="str">
        <f>IFERROR(__xludf.DUMMYFUNCTION("""COMPUTED_VALUE"""),"PRIORIDAD 1 Q3 2023 OCTUBRE")</f>
        <v>PRIORIDAD 1 Q3 2023 OCTUBRE</v>
      </c>
    </row>
    <row r="252" ht="15.75" customHeight="1">
      <c r="A252" s="19" t="str">
        <f>IFERROR(__xludf.DUMMYFUNCTION("""COMPUTED_VALUE"""),"AB_11482")</f>
        <v>AB_11482</v>
      </c>
      <c r="B252" s="19" t="str">
        <f>IFERROR(__xludf.DUMMYFUNCTION("""COMPUTED_VALUE"""),"AB_11482_A")</f>
        <v>AB_11482_A</v>
      </c>
      <c r="C252" s="19" t="str">
        <f>IFERROR(__xludf.DUMMYFUNCTION("""COMPUTED_VALUE"""),"BI11482")</f>
        <v>BI11482</v>
      </c>
      <c r="D252" s="19" t="str">
        <f>IFERROR(__xludf.DUMMYFUNCTION("""COMPUTED_VALUE"""),"Morguilla Lebu Sur")</f>
        <v>Morguilla Lebu Sur</v>
      </c>
      <c r="E252" s="19" t="str">
        <f>IFERROR(__xludf.DUMMYFUNCTION("""COMPUTED_VALUE"""),"SITIO RFI")</f>
        <v>SITIO RFI</v>
      </c>
      <c r="F252" s="19" t="str">
        <f>IFERROR(__xludf.DUMMYFUNCTION("""COMPUTED_VALUE"""),"MONTAJE")</f>
        <v>MONTAJE</v>
      </c>
      <c r="G252" s="19" t="str">
        <f>IFERROR(__xludf.DUMMYFUNCTION("""COMPUTED_VALUE"""),"CV42")</f>
        <v>CV42</v>
      </c>
      <c r="H252" s="19" t="str">
        <f>IFERROR(__xludf.DUMMYFUNCTION("""COMPUTED_VALUE"""),"INGENIUS")</f>
        <v>INGENIUS</v>
      </c>
      <c r="I252" s="19" t="str">
        <f>IFERROR(__xludf.DUMMYFUNCTION("""COMPUTED_VALUE"""),"Entregada")</f>
        <v>Entregada</v>
      </c>
      <c r="J252" s="20">
        <f>IFERROR(__xludf.DUMMYFUNCTION("""COMPUTED_VALUE"""),45042.0)</f>
        <v>45042</v>
      </c>
      <c r="K252" s="19" t="str">
        <f>IFERROR(__xludf.DUMMYFUNCTION("""COMPUTED_VALUE"""),"Entregada")</f>
        <v>Entregada</v>
      </c>
      <c r="L252" s="20">
        <f>IFERROR(__xludf.DUMMYFUNCTION("""COMPUTED_VALUE"""),45114.0)</f>
        <v>45114</v>
      </c>
      <c r="M252" s="19" t="str">
        <f>IFERROR(__xludf.DUMMYFUNCTION("""COMPUTED_VALUE"""),"PCM_2")</f>
        <v>PCM_2</v>
      </c>
      <c r="N252" s="19" t="str">
        <f>IFERROR(__xludf.DUMMYFUNCTION("""COMPUTED_VALUE"""),"PRIORIDAD 1 Q3 2023 OCTUBRE")</f>
        <v>PRIORIDAD 1 Q3 2023 OCTUBRE</v>
      </c>
    </row>
    <row r="253" ht="15.75" customHeight="1">
      <c r="A253" s="19" t="str">
        <f>IFERROR(__xludf.DUMMYFUNCTION("""COMPUTED_VALUE"""),"AB_1707")</f>
        <v>AB_1707</v>
      </c>
      <c r="B253" s="19" t="str">
        <f>IFERROR(__xludf.DUMMYFUNCTION("""COMPUTED_VALUE"""),"AB_1707_D")</f>
        <v>AB_1707_D</v>
      </c>
      <c r="C253" s="19" t="str">
        <f>IFERROR(__xludf.DUMMYFUNCTION("""COMPUTED_VALUE"""),"BI1707")</f>
        <v>BI1707</v>
      </c>
      <c r="D253" s="19" t="str">
        <f>IFERROR(__xludf.DUMMYFUNCTION("""COMPUTED_VALUE"""),"Charrua Cabrero")</f>
        <v>Charrua Cabrero</v>
      </c>
      <c r="E253" s="19" t="str">
        <f>IFERROR(__xludf.DUMMYFUNCTION("""COMPUTED_VALUE"""),"SITIO RFI")</f>
        <v>SITIO RFI</v>
      </c>
      <c r="F253" s="19" t="str">
        <f>IFERROR(__xludf.DUMMYFUNCTION("""COMPUTED_VALUE"""),"RFI")</f>
        <v>RFI</v>
      </c>
      <c r="G253" s="19" t="str">
        <f>IFERROR(__xludf.DUMMYFUNCTION("""COMPUTED_VALUE"""),"AS60")</f>
        <v>AS60</v>
      </c>
      <c r="H253" s="19" t="str">
        <f>IFERROR(__xludf.DUMMYFUNCTION("""COMPUTED_VALUE"""),"AJ")</f>
        <v>AJ</v>
      </c>
      <c r="I253" s="19" t="str">
        <f>IFERROR(__xludf.DUMMYFUNCTION("""COMPUTED_VALUE"""),"Entregada")</f>
        <v>Entregada</v>
      </c>
      <c r="J253" s="20">
        <f>IFERROR(__xludf.DUMMYFUNCTION("""COMPUTED_VALUE"""),44543.0)</f>
        <v>44543</v>
      </c>
      <c r="K253" s="19" t="str">
        <f>IFERROR(__xludf.DUMMYFUNCTION("""COMPUTED_VALUE"""),"Entregada")</f>
        <v>Entregada</v>
      </c>
      <c r="L253" s="20">
        <f>IFERROR(__xludf.DUMMYFUNCTION("""COMPUTED_VALUE"""),44533.0)</f>
        <v>44533</v>
      </c>
      <c r="M253" s="19" t="str">
        <f>IFERROR(__xludf.DUMMYFUNCTION("""COMPUTED_VALUE"""),"PCM")</f>
        <v>PCM</v>
      </c>
      <c r="N253" s="19" t="str">
        <f>IFERROR(__xludf.DUMMYFUNCTION("""COMPUTED_VALUE"""),"PRIORIDAD 1 Q3 2023 OCTUBRE")</f>
        <v>PRIORIDAD 1 Q3 2023 OCTUBRE</v>
      </c>
    </row>
    <row r="254" ht="15.75" customHeight="1">
      <c r="A254" s="19" t="str">
        <f>IFERROR(__xludf.DUMMYFUNCTION("""COMPUTED_VALUE"""),"AB_2395")</f>
        <v>AB_2395</v>
      </c>
      <c r="B254" s="19" t="str">
        <f>IFERROR(__xludf.DUMMYFUNCTION("""COMPUTED_VALUE"""),"AB_2395_C")</f>
        <v>AB_2395_C</v>
      </c>
      <c r="C254" s="19" t="str">
        <f>IFERROR(__xludf.DUMMYFUNCTION("""COMPUTED_VALUE"""),"BI2395")</f>
        <v>BI2395</v>
      </c>
      <c r="D254" s="19" t="str">
        <f>IFERROR(__xludf.DUMMYFUNCTION("""COMPUTED_VALUE"""),"Ralco")</f>
        <v>Ralco</v>
      </c>
      <c r="E254" s="19" t="str">
        <f>IFERROR(__xludf.DUMMYFUNCTION("""COMPUTED_VALUE"""),"SITIO RFI")</f>
        <v>SITIO RFI</v>
      </c>
      <c r="F254" s="19" t="str">
        <f>IFERROR(__xludf.DUMMYFUNCTION("""COMPUTED_VALUE"""),"RFI")</f>
        <v>RFI</v>
      </c>
      <c r="G254" s="19" t="str">
        <f>IFERROR(__xludf.DUMMYFUNCTION("""COMPUTED_VALUE"""),"AS60")</f>
        <v>AS60</v>
      </c>
      <c r="H254" s="19" t="str">
        <f>IFERROR(__xludf.DUMMYFUNCTION("""COMPUTED_VALUE"""),"MER")</f>
        <v>MER</v>
      </c>
      <c r="I254" s="19" t="str">
        <f>IFERROR(__xludf.DUMMYFUNCTION("""COMPUTED_VALUE"""),"Entregada")</f>
        <v>Entregada</v>
      </c>
      <c r="J254" s="20">
        <f>IFERROR(__xludf.DUMMYFUNCTION("""COMPUTED_VALUE"""),44697.0)</f>
        <v>44697</v>
      </c>
      <c r="K254" s="19" t="str">
        <f>IFERROR(__xludf.DUMMYFUNCTION("""COMPUTED_VALUE"""),"Entregada")</f>
        <v>Entregada</v>
      </c>
      <c r="L254" s="20">
        <f>IFERROR(__xludf.DUMMYFUNCTION("""COMPUTED_VALUE"""),44715.0)</f>
        <v>44715</v>
      </c>
      <c r="M254" s="19" t="str">
        <f>IFERROR(__xludf.DUMMYFUNCTION("""COMPUTED_VALUE"""),"PCM")</f>
        <v>PCM</v>
      </c>
      <c r="N254" s="19" t="str">
        <f>IFERROR(__xludf.DUMMYFUNCTION("""COMPUTED_VALUE"""),"PRIORIDAD 1 Q3 2023 OCTUBRE")</f>
        <v>PRIORIDAD 1 Q3 2023 OCTUBRE</v>
      </c>
    </row>
    <row r="255" ht="15.75" customHeight="1">
      <c r="A255" s="19" t="str">
        <f>IFERROR(__xludf.DUMMYFUNCTION("""COMPUTED_VALUE"""),"AB_3185")</f>
        <v>AB_3185</v>
      </c>
      <c r="B255" s="19" t="str">
        <f>IFERROR(__xludf.DUMMYFUNCTION("""COMPUTED_VALUE"""),"AB_3185_I")</f>
        <v>AB_3185_I</v>
      </c>
      <c r="C255" s="19" t="str">
        <f>IFERROR(__xludf.DUMMYFUNCTION("""COMPUTED_VALUE"""),"BI3185")</f>
        <v>BI3185</v>
      </c>
      <c r="D255" s="19" t="str">
        <f>IFERROR(__xludf.DUMMYFUNCTION("""COMPUTED_VALUE"""),"Muelle Puchoco")</f>
        <v>Muelle Puchoco</v>
      </c>
      <c r="E255" s="19" t="str">
        <f>IFERROR(__xludf.DUMMYFUNCTION("""COMPUTED_VALUE"""),"DETENIDO SAC")</f>
        <v>DETENIDO SAC</v>
      </c>
      <c r="F255" s="19"/>
      <c r="G255" s="19" t="str">
        <f>IFERROR(__xludf.DUMMYFUNCTION("""COMPUTED_VALUE"""),"Azotea")</f>
        <v>Azotea</v>
      </c>
      <c r="H255" s="19"/>
      <c r="I255" s="19"/>
      <c r="J255" s="19"/>
      <c r="K255" s="19"/>
      <c r="L255" s="19"/>
      <c r="M255" s="19" t="str">
        <f>IFERROR(__xludf.DUMMYFUNCTION("""COMPUTED_VALUE"""),"PCM")</f>
        <v>PCM</v>
      </c>
      <c r="N255" s="19" t="str">
        <f>IFERROR(__xludf.DUMMYFUNCTION("""COMPUTED_VALUE"""),"PRIORIDAD 1 Q3 2023 OCTUBRE")</f>
        <v>PRIORIDAD 1 Q3 2023 OCTUBRE</v>
      </c>
    </row>
    <row r="256" ht="15.75" customHeight="1">
      <c r="A256" s="19" t="str">
        <f>IFERROR(__xludf.DUMMYFUNCTION("""COMPUTED_VALUE"""),"AB_4571")</f>
        <v>AB_4571</v>
      </c>
      <c r="B256" s="19" t="str">
        <f>IFERROR(__xludf.DUMMYFUNCTION("""COMPUTED_VALUE"""),"AB_4571_A")</f>
        <v>AB_4571_A</v>
      </c>
      <c r="C256" s="19" t="str">
        <f>IFERROR(__xludf.DUMMYFUNCTION("""COMPUTED_VALUE"""),"BI4571")</f>
        <v>BI4571</v>
      </c>
      <c r="D256" s="19" t="str">
        <f>IFERROR(__xludf.DUMMYFUNCTION("""COMPUTED_VALUE"""),"Calbul")</f>
        <v>Calbul</v>
      </c>
      <c r="E256" s="19" t="str">
        <f>IFERROR(__xludf.DUMMYFUNCTION("""COMPUTED_VALUE"""),"SITIO ASIGNADO")</f>
        <v>SITIO ASIGNADO</v>
      </c>
      <c r="F256" s="19" t="str">
        <f>IFERROR(__xludf.DUMMYFUNCTION("""COMPUTED_VALUE"""),"VISITA")</f>
        <v>VISITA</v>
      </c>
      <c r="G256" s="19" t="str">
        <f>IFERROR(__xludf.DUMMYFUNCTION("""COMPUTED_VALUE"""),"CV54")</f>
        <v>CV54</v>
      </c>
      <c r="H256" s="19" t="str">
        <f>IFERROR(__xludf.DUMMYFUNCTION("""COMPUTED_VALUE"""),"INGENIUS")</f>
        <v>INGENIUS</v>
      </c>
      <c r="I256" s="19" t="str">
        <f>IFERROR(__xludf.DUMMYFUNCTION("""COMPUTED_VALUE"""),"Terminada")</f>
        <v>Terminada</v>
      </c>
      <c r="J256" s="20">
        <f>IFERROR(__xludf.DUMMYFUNCTION("""COMPUTED_VALUE"""),45041.0)</f>
        <v>45041</v>
      </c>
      <c r="K256" s="19" t="str">
        <f>IFERROR(__xludf.DUMMYFUNCTION("""COMPUTED_VALUE"""),"En fabricacion")</f>
        <v>En fabricacion</v>
      </c>
      <c r="L256" s="20">
        <f>IFERROR(__xludf.DUMMYFUNCTION("""COMPUTED_VALUE"""),45114.0)</f>
        <v>45114</v>
      </c>
      <c r="M256" s="19" t="str">
        <f>IFERROR(__xludf.DUMMYFUNCTION("""COMPUTED_VALUE"""),"PCM")</f>
        <v>PCM</v>
      </c>
      <c r="N256" s="19" t="str">
        <f>IFERROR(__xludf.DUMMYFUNCTION("""COMPUTED_VALUE"""),"PRIORIDAD 1 Q3 2023 OCTUBRE")</f>
        <v>PRIORIDAD 1 Q3 2023 OCTUBRE</v>
      </c>
    </row>
    <row r="257" ht="15.75" customHeight="1">
      <c r="A257" s="19" t="str">
        <f>IFERROR(__xludf.DUMMYFUNCTION("""COMPUTED_VALUE"""),"AB_4592")</f>
        <v>AB_4592</v>
      </c>
      <c r="B257" s="19" t="str">
        <f>IFERROR(__xludf.DUMMYFUNCTION("""COMPUTED_VALUE"""),"AB_4592_D")</f>
        <v>AB_4592_D</v>
      </c>
      <c r="C257" s="19" t="str">
        <f>IFERROR(__xludf.DUMMYFUNCTION("""COMPUTED_VALUE"""),"BI4592")</f>
        <v>BI4592</v>
      </c>
      <c r="D257" s="19" t="str">
        <f>IFERROR(__xludf.DUMMYFUNCTION("""COMPUTED_VALUE"""),"Alcan Chiguayante")</f>
        <v>Alcan Chiguayante</v>
      </c>
      <c r="E257" s="19" t="str">
        <f>IFERROR(__xludf.DUMMYFUNCTION("""COMPUTED_VALUE"""),"DETENIDO EN PROCESO LDA")</f>
        <v>DETENIDO EN PROCESO LDA</v>
      </c>
      <c r="F257" s="19"/>
      <c r="G257" s="19" t="str">
        <f>IFERROR(__xludf.DUMMYFUNCTION("""COMPUTED_VALUE"""),"MP W35")</f>
        <v>MP W35</v>
      </c>
      <c r="H257" s="19" t="str">
        <f>IFERROR(__xludf.DUMMYFUNCTION("""COMPUTED_VALUE"""),"")</f>
        <v/>
      </c>
      <c r="I257" s="19" t="str">
        <f>IFERROR(__xludf.DUMMYFUNCTION("""COMPUTED_VALUE"""),"")</f>
        <v/>
      </c>
      <c r="J257" s="20" t="str">
        <f>IFERROR(__xludf.DUMMYFUNCTION("""COMPUTED_VALUE"""),"")</f>
        <v/>
      </c>
      <c r="K257" s="19" t="str">
        <f>IFERROR(__xludf.DUMMYFUNCTION("""COMPUTED_VALUE"""),"")</f>
        <v/>
      </c>
      <c r="L257" s="20" t="str">
        <f>IFERROR(__xludf.DUMMYFUNCTION("""COMPUTED_VALUE"""),"")</f>
        <v/>
      </c>
      <c r="M257" s="19" t="str">
        <f>IFERROR(__xludf.DUMMYFUNCTION("""COMPUTED_VALUE"""),"PCM")</f>
        <v>PCM</v>
      </c>
      <c r="N257" s="19" t="str">
        <f>IFERROR(__xludf.DUMMYFUNCTION("""COMPUTED_VALUE"""),"PRIORIDAD 3 Q1 2024 MARZO")</f>
        <v>PRIORIDAD 3 Q1 2024 MARZO</v>
      </c>
    </row>
    <row r="258" ht="15.75" customHeight="1">
      <c r="A258" s="19" t="str">
        <f>IFERROR(__xludf.DUMMYFUNCTION("""COMPUTED_VALUE"""),"AB_4779")</f>
        <v>AB_4779</v>
      </c>
      <c r="B258" s="19" t="str">
        <f>IFERROR(__xludf.DUMMYFUNCTION("""COMPUTED_VALUE"""),"AB_4779_C")</f>
        <v>AB_4779_C</v>
      </c>
      <c r="C258" s="19" t="str">
        <f>IFERROR(__xludf.DUMMYFUNCTION("""COMPUTED_VALUE"""),"BI4779")</f>
        <v>BI4779</v>
      </c>
      <c r="D258" s="19" t="str">
        <f>IFERROR(__xludf.DUMMYFUNCTION("""COMPUTED_VALUE"""),"Quilaco Pueblo")</f>
        <v>Quilaco Pueblo</v>
      </c>
      <c r="E258" s="19" t="str">
        <f>IFERROR(__xludf.DUMMYFUNCTION("""COMPUTED_VALUE"""),"SITIO RFI")</f>
        <v>SITIO RFI</v>
      </c>
      <c r="F258" s="19" t="str">
        <f>IFERROR(__xludf.DUMMYFUNCTION("""COMPUTED_VALUE"""),"RFI")</f>
        <v>RFI</v>
      </c>
      <c r="G258" s="19" t="str">
        <f>IFERROR(__xludf.DUMMYFUNCTION("""COMPUTED_VALUE"""),"CV60")</f>
        <v>CV60</v>
      </c>
      <c r="H258" s="19" t="str">
        <f>IFERROR(__xludf.DUMMYFUNCTION("""COMPUTED_VALUE"""),"MER")</f>
        <v>MER</v>
      </c>
      <c r="I258" s="19" t="str">
        <f>IFERROR(__xludf.DUMMYFUNCTION("""COMPUTED_VALUE"""),"Entregada")</f>
        <v>Entregada</v>
      </c>
      <c r="J258" s="20">
        <f>IFERROR(__xludf.DUMMYFUNCTION("""COMPUTED_VALUE"""),44652.0)</f>
        <v>44652</v>
      </c>
      <c r="K258" s="19" t="str">
        <f>IFERROR(__xludf.DUMMYFUNCTION("""COMPUTED_VALUE"""),"Entregada")</f>
        <v>Entregada</v>
      </c>
      <c r="L258" s="20">
        <f>IFERROR(__xludf.DUMMYFUNCTION("""COMPUTED_VALUE"""),44690.0)</f>
        <v>44690</v>
      </c>
      <c r="M258" s="19" t="str">
        <f>IFERROR(__xludf.DUMMYFUNCTION("""COMPUTED_VALUE"""),"PCM")</f>
        <v>PCM</v>
      </c>
      <c r="N258" s="19" t="str">
        <f>IFERROR(__xludf.DUMMYFUNCTION("""COMPUTED_VALUE"""),"PRIORIDAD 1 Q3 2023 OCTUBRE")</f>
        <v>PRIORIDAD 1 Q3 2023 OCTUBRE</v>
      </c>
    </row>
    <row r="259" ht="15.75" customHeight="1">
      <c r="A259" s="19" t="str">
        <f>IFERROR(__xludf.DUMMYFUNCTION("""COMPUTED_VALUE"""),"AB_5499")</f>
        <v>AB_5499</v>
      </c>
      <c r="B259" s="19" t="str">
        <f>IFERROR(__xludf.DUMMYFUNCTION("""COMPUTED_VALUE"""),"AB_5499_A")</f>
        <v>AB_5499_A</v>
      </c>
      <c r="C259" s="19" t="str">
        <f>IFERROR(__xludf.DUMMYFUNCTION("""COMPUTED_VALUE"""),"BI5499")</f>
        <v>BI5499</v>
      </c>
      <c r="D259" s="19" t="str">
        <f>IFERROR(__xludf.DUMMYFUNCTION("""COMPUTED_VALUE"""),"Santa Ester Sur")</f>
        <v>Santa Ester Sur</v>
      </c>
      <c r="E259" s="19" t="str">
        <f>IFERROR(__xludf.DUMMYFUNCTION("""COMPUTED_VALUE"""),"DETENIDO MAYORISTA")</f>
        <v>DETENIDO MAYORISTA</v>
      </c>
      <c r="F259" s="19"/>
      <c r="G259" s="19" t="str">
        <f>IFERROR(__xludf.DUMMYFUNCTION("""COMPUTED_VALUE"""),"CV60")</f>
        <v>CV60</v>
      </c>
      <c r="H259" s="19" t="str">
        <f>IFERROR(__xludf.DUMMYFUNCTION("""COMPUTED_VALUE"""),"")</f>
        <v/>
      </c>
      <c r="I259" s="19" t="str">
        <f>IFERROR(__xludf.DUMMYFUNCTION("""COMPUTED_VALUE"""),"")</f>
        <v/>
      </c>
      <c r="J259" s="20" t="str">
        <f>IFERROR(__xludf.DUMMYFUNCTION("""COMPUTED_VALUE"""),"")</f>
        <v/>
      </c>
      <c r="K259" s="19" t="str">
        <f>IFERROR(__xludf.DUMMYFUNCTION("""COMPUTED_VALUE"""),"")</f>
        <v/>
      </c>
      <c r="L259" s="20" t="str">
        <f>IFERROR(__xludf.DUMMYFUNCTION("""COMPUTED_VALUE"""),"")</f>
        <v/>
      </c>
      <c r="M259" s="19" t="str">
        <f>IFERROR(__xludf.DUMMYFUNCTION("""COMPUTED_VALUE"""),"PCM")</f>
        <v>PCM</v>
      </c>
      <c r="N259" s="19" t="str">
        <f>IFERROR(__xludf.DUMMYFUNCTION("""COMPUTED_VALUE"""),"PRIORIDAD 3 Q1 2024 MARZO")</f>
        <v>PRIORIDAD 3 Q1 2024 MARZO</v>
      </c>
    </row>
    <row r="260" ht="15.75" customHeight="1">
      <c r="A260" s="19" t="str">
        <f>IFERROR(__xludf.DUMMYFUNCTION("""COMPUTED_VALUE"""),"AB_5751")</f>
        <v>AB_5751</v>
      </c>
      <c r="B260" s="19" t="str">
        <f>IFERROR(__xludf.DUMMYFUNCTION("""COMPUTED_VALUE"""),"AB_5751_A")</f>
        <v>AB_5751_A</v>
      </c>
      <c r="C260" s="19" t="str">
        <f>IFERROR(__xludf.DUMMYFUNCTION("""COMPUTED_VALUE"""),"BI5751")</f>
        <v>BI5751</v>
      </c>
      <c r="D260" s="19" t="str">
        <f>IFERROR(__xludf.DUMMYFUNCTION("""COMPUTED_VALUE"""),"Rio Claro Yumbel")</f>
        <v>Rio Claro Yumbel</v>
      </c>
      <c r="E260" s="19" t="str">
        <f>IFERROR(__xludf.DUMMYFUNCTION("""COMPUTED_VALUE"""),"SITIO RFI")</f>
        <v>SITIO RFI</v>
      </c>
      <c r="F260" s="19" t="str">
        <f>IFERROR(__xludf.DUMMYFUNCTION("""COMPUTED_VALUE"""),"RFI")</f>
        <v>RFI</v>
      </c>
      <c r="G260" s="19" t="str">
        <f>IFERROR(__xludf.DUMMYFUNCTION("""COMPUTED_VALUE"""),"AS48")</f>
        <v>AS48</v>
      </c>
      <c r="H260" s="19" t="str">
        <f>IFERROR(__xludf.DUMMYFUNCTION("""COMPUTED_VALUE"""),"AJ")</f>
        <v>AJ</v>
      </c>
      <c r="I260" s="19" t="str">
        <f>IFERROR(__xludf.DUMMYFUNCTION("""COMPUTED_VALUE"""),"Entregada")</f>
        <v>Entregada</v>
      </c>
      <c r="J260" s="20">
        <f>IFERROR(__xludf.DUMMYFUNCTION("""COMPUTED_VALUE"""),44664.0)</f>
        <v>44664</v>
      </c>
      <c r="K260" s="19" t="str">
        <f>IFERROR(__xludf.DUMMYFUNCTION("""COMPUTED_VALUE"""),"Entregada")</f>
        <v>Entregada</v>
      </c>
      <c r="L260" s="20">
        <f>IFERROR(__xludf.DUMMYFUNCTION("""COMPUTED_VALUE"""),44703.0)</f>
        <v>44703</v>
      </c>
      <c r="M260" s="19" t="str">
        <f>IFERROR(__xludf.DUMMYFUNCTION("""COMPUTED_VALUE"""),"PCM")</f>
        <v>PCM</v>
      </c>
      <c r="N260" s="19" t="str">
        <f>IFERROR(__xludf.DUMMYFUNCTION("""COMPUTED_VALUE"""),"PRIORIDAD 1 Q3 2023 OCTUBRE")</f>
        <v>PRIORIDAD 1 Q3 2023 OCTUBRE</v>
      </c>
    </row>
    <row r="261" ht="15.75" customHeight="1">
      <c r="A261" s="19" t="str">
        <f>IFERROR(__xludf.DUMMYFUNCTION("""COMPUTED_VALUE"""),"AB_5755")</f>
        <v>AB_5755</v>
      </c>
      <c r="B261" s="19" t="str">
        <f>IFERROR(__xludf.DUMMYFUNCTION("""COMPUTED_VALUE"""),"AB_5755_A")</f>
        <v>AB_5755_A</v>
      </c>
      <c r="C261" s="19" t="str">
        <f>IFERROR(__xludf.DUMMYFUNCTION("""COMPUTED_VALUE"""),"BI5755")</f>
        <v>BI5755</v>
      </c>
      <c r="D261" s="19" t="str">
        <f>IFERROR(__xludf.DUMMYFUNCTION("""COMPUTED_VALUE"""),"Ruta Santa Juana Nacimiento")</f>
        <v>Ruta Santa Juana Nacimiento</v>
      </c>
      <c r="E261" s="19" t="str">
        <f>IFERROR(__xludf.DUMMYFUNCTION("""COMPUTED_VALUE"""),"SITIO RFI")</f>
        <v>SITIO RFI</v>
      </c>
      <c r="F261" s="19" t="str">
        <f>IFERROR(__xludf.DUMMYFUNCTION("""COMPUTED_VALUE"""),"RFI")</f>
        <v>RFI</v>
      </c>
      <c r="G261" s="19" t="str">
        <f>IFERROR(__xludf.DUMMYFUNCTION("""COMPUTED_VALUE"""),"AS60")</f>
        <v>AS60</v>
      </c>
      <c r="H261" s="19" t="str">
        <f>IFERROR(__xludf.DUMMYFUNCTION("""COMPUTED_VALUE"""),"DEITEL")</f>
        <v>DEITEL</v>
      </c>
      <c r="I261" s="19" t="str">
        <f>IFERROR(__xludf.DUMMYFUNCTION("""COMPUTED_VALUE"""),"Entregada")</f>
        <v>Entregada</v>
      </c>
      <c r="J261" s="20">
        <f>IFERROR(__xludf.DUMMYFUNCTION("""COMPUTED_VALUE"""),44672.0)</f>
        <v>44672</v>
      </c>
      <c r="K261" s="19" t="str">
        <f>IFERROR(__xludf.DUMMYFUNCTION("""COMPUTED_VALUE"""),"Entregada")</f>
        <v>Entregada</v>
      </c>
      <c r="L261" s="20">
        <f>IFERROR(__xludf.DUMMYFUNCTION("""COMPUTED_VALUE"""),44706.0)</f>
        <v>44706</v>
      </c>
      <c r="M261" s="19" t="str">
        <f>IFERROR(__xludf.DUMMYFUNCTION("""COMPUTED_VALUE"""),"PCM")</f>
        <v>PCM</v>
      </c>
      <c r="N261" s="19" t="str">
        <f>IFERROR(__xludf.DUMMYFUNCTION("""COMPUTED_VALUE"""),"PRIORIDAD 1 Q3 2023 OCTUBRE")</f>
        <v>PRIORIDAD 1 Q3 2023 OCTUBRE</v>
      </c>
    </row>
    <row r="262" ht="15.75" customHeight="1">
      <c r="A262" s="19" t="str">
        <f>IFERROR(__xludf.DUMMYFUNCTION("""COMPUTED_VALUE"""),"AB_6193")</f>
        <v>AB_6193</v>
      </c>
      <c r="B262" s="19" t="str">
        <f>IFERROR(__xludf.DUMMYFUNCTION("""COMPUTED_VALUE"""),"AB_6193_C")</f>
        <v>AB_6193_C</v>
      </c>
      <c r="C262" s="19" t="str">
        <f>IFERROR(__xludf.DUMMYFUNCTION("""COMPUTED_VALUE"""),"BI6193")</f>
        <v>BI6193</v>
      </c>
      <c r="D262" s="19" t="str">
        <f>IFERROR(__xludf.DUMMYFUNCTION("""COMPUTED_VALUE"""),"Arauco Ramadillas")</f>
        <v>Arauco Ramadillas</v>
      </c>
      <c r="E262" s="19" t="str">
        <f>IFERROR(__xludf.DUMMYFUNCTION("""COMPUTED_VALUE"""),"SITIO RFI")</f>
        <v>SITIO RFI</v>
      </c>
      <c r="F262" s="19" t="str">
        <f>IFERROR(__xludf.DUMMYFUNCTION("""COMPUTED_VALUE"""),"RFI")</f>
        <v>RFI</v>
      </c>
      <c r="G262" s="19" t="str">
        <f>IFERROR(__xludf.DUMMYFUNCTION("""COMPUTED_VALUE"""),"CV60")</f>
        <v>CV60</v>
      </c>
      <c r="H262" s="19" t="str">
        <f>IFERROR(__xludf.DUMMYFUNCTION("""COMPUTED_VALUE"""),"DEITEL")</f>
        <v>DEITEL</v>
      </c>
      <c r="I262" s="19" t="str">
        <f>IFERROR(__xludf.DUMMYFUNCTION("""COMPUTED_VALUE"""),"Entregada")</f>
        <v>Entregada</v>
      </c>
      <c r="J262" s="20">
        <f>IFERROR(__xludf.DUMMYFUNCTION("""COMPUTED_VALUE"""),44750.0)</f>
        <v>44750</v>
      </c>
      <c r="K262" s="19" t="str">
        <f>IFERROR(__xludf.DUMMYFUNCTION("""COMPUTED_VALUE"""),"Entregada")</f>
        <v>Entregada</v>
      </c>
      <c r="L262" s="20">
        <f>IFERROR(__xludf.DUMMYFUNCTION("""COMPUTED_VALUE"""),44782.0)</f>
        <v>44782</v>
      </c>
      <c r="M262" s="19" t="str">
        <f>IFERROR(__xludf.DUMMYFUNCTION("""COMPUTED_VALUE"""),"PCM")</f>
        <v>PCM</v>
      </c>
      <c r="N262" s="19" t="str">
        <f>IFERROR(__xludf.DUMMYFUNCTION("""COMPUTED_VALUE"""),"PRIORIDAD 1 Q3 2023 OCTUBRE")</f>
        <v>PRIORIDAD 1 Q3 2023 OCTUBRE</v>
      </c>
    </row>
    <row r="263" ht="15.75" customHeight="1">
      <c r="A263" s="19" t="str">
        <f>IFERROR(__xludf.DUMMYFUNCTION("""COMPUTED_VALUE"""),"AB_6203")</f>
        <v>AB_6203</v>
      </c>
      <c r="B263" s="19" t="str">
        <f>IFERROR(__xludf.DUMMYFUNCTION("""COMPUTED_VALUE"""),"AB_6203_A")</f>
        <v>AB_6203_A</v>
      </c>
      <c r="C263" s="19" t="str">
        <f>IFERROR(__xludf.DUMMYFUNCTION("""COMPUTED_VALUE"""),"BI6203")</f>
        <v>BI6203</v>
      </c>
      <c r="D263" s="19" t="str">
        <f>IFERROR(__xludf.DUMMYFUNCTION("""COMPUTED_VALUE"""),"Unihue Sur")</f>
        <v>Unihue Sur</v>
      </c>
      <c r="E263" s="19" t="str">
        <f>IFERROR(__xludf.DUMMYFUNCTION("""COMPUTED_VALUE"""),"DETENIDO DOM")</f>
        <v>DETENIDO DOM</v>
      </c>
      <c r="F263" s="19" t="str">
        <f>IFERROR(__xludf.DUMMYFUNCTION("""COMPUTED_VALUE"""),"MONTAJE")</f>
        <v>MONTAJE</v>
      </c>
      <c r="G263" s="19" t="str">
        <f>IFERROR(__xludf.DUMMYFUNCTION("""COMPUTED_VALUE"""),"MP R40")</f>
        <v>MP R40</v>
      </c>
      <c r="H263" s="19" t="str">
        <f>IFERROR(__xludf.DUMMYFUNCTION("""COMPUTED_VALUE"""),"MER")</f>
        <v>MER</v>
      </c>
      <c r="I263" s="19" t="str">
        <f>IFERROR(__xludf.DUMMYFUNCTION("""COMPUTED_VALUE"""),"Entregada")</f>
        <v>Entregada</v>
      </c>
      <c r="J263" s="20">
        <f>IFERROR(__xludf.DUMMYFUNCTION("""COMPUTED_VALUE"""),44729.0)</f>
        <v>44729</v>
      </c>
      <c r="K263" s="19" t="str">
        <f>IFERROR(__xludf.DUMMYFUNCTION("""COMPUTED_VALUE"""),"Entregada")</f>
        <v>Entregada</v>
      </c>
      <c r="L263" s="20">
        <f>IFERROR(__xludf.DUMMYFUNCTION("""COMPUTED_VALUE"""),44736.0)</f>
        <v>44736</v>
      </c>
      <c r="M263" s="19" t="str">
        <f>IFERROR(__xludf.DUMMYFUNCTION("""COMPUTED_VALUE"""),"PCM")</f>
        <v>PCM</v>
      </c>
      <c r="N263" s="19" t="str">
        <f>IFERROR(__xludf.DUMMYFUNCTION("""COMPUTED_VALUE"""),"PRIORIDAD 3 Q1 2024 MARZO")</f>
        <v>PRIORIDAD 3 Q1 2024 MARZO</v>
      </c>
    </row>
    <row r="264" ht="15.75" customHeight="1">
      <c r="A264" s="19" t="str">
        <f>IFERROR(__xludf.DUMMYFUNCTION("""COMPUTED_VALUE"""),"AB_6204")</f>
        <v>AB_6204</v>
      </c>
      <c r="B264" s="19" t="str">
        <f>IFERROR(__xludf.DUMMYFUNCTION("""COMPUTED_VALUE"""),"AB_6204_D")</f>
        <v>AB_6204_D</v>
      </c>
      <c r="C264" s="19" t="str">
        <f>IFERROR(__xludf.DUMMYFUNCTION("""COMPUTED_VALUE"""),"BI6204")</f>
        <v>BI6204</v>
      </c>
      <c r="D264" s="19" t="str">
        <f>IFERROR(__xludf.DUMMYFUNCTION("""COMPUTED_VALUE"""),"Cruz de Piedra Laja")</f>
        <v>Cruz de Piedra Laja</v>
      </c>
      <c r="E264" s="19" t="str">
        <f>IFERROR(__xludf.DUMMYFUNCTION("""COMPUTED_VALUE"""),"SITIO RFI")</f>
        <v>SITIO RFI</v>
      </c>
      <c r="F264" s="19" t="str">
        <f>IFERROR(__xludf.DUMMYFUNCTION("""COMPUTED_VALUE"""),"RFI")</f>
        <v>RFI</v>
      </c>
      <c r="G264" s="19" t="str">
        <f>IFERROR(__xludf.DUMMYFUNCTION("""COMPUTED_VALUE"""),"MP30")</f>
        <v>MP30</v>
      </c>
      <c r="H264" s="19" t="str">
        <f>IFERROR(__xludf.DUMMYFUNCTION("""COMPUTED_VALUE"""),"MER")</f>
        <v>MER</v>
      </c>
      <c r="I264" s="19" t="str">
        <f>IFERROR(__xludf.DUMMYFUNCTION("""COMPUTED_VALUE"""),"Entregada")</f>
        <v>Entregada</v>
      </c>
      <c r="J264" s="20">
        <f>IFERROR(__xludf.DUMMYFUNCTION("""COMPUTED_VALUE"""),44697.0)</f>
        <v>44697</v>
      </c>
      <c r="K264" s="19" t="str">
        <f>IFERROR(__xludf.DUMMYFUNCTION("""COMPUTED_VALUE"""),"Entregada")</f>
        <v>Entregada</v>
      </c>
      <c r="L264" s="20">
        <f>IFERROR(__xludf.DUMMYFUNCTION("""COMPUTED_VALUE"""),44729.0)</f>
        <v>44729</v>
      </c>
      <c r="M264" s="19" t="str">
        <f>IFERROR(__xludf.DUMMYFUNCTION("""COMPUTED_VALUE"""),"PCM")</f>
        <v>PCM</v>
      </c>
      <c r="N264" s="19" t="str">
        <f>IFERROR(__xludf.DUMMYFUNCTION("""COMPUTED_VALUE"""),"PRIORIDAD 1 Q3 2023 OCTUBRE")</f>
        <v>PRIORIDAD 1 Q3 2023 OCTUBRE</v>
      </c>
    </row>
    <row r="265" ht="15.75" customHeight="1">
      <c r="A265" s="19" t="str">
        <f>IFERROR(__xludf.DUMMYFUNCTION("""COMPUTED_VALUE"""),"AB_6208")</f>
        <v>AB_6208</v>
      </c>
      <c r="B265" s="19" t="str">
        <f>IFERROR(__xludf.DUMMYFUNCTION("""COMPUTED_VALUE"""),"AB_6208_B")</f>
        <v>AB_6208_B</v>
      </c>
      <c r="C265" s="19" t="str">
        <f>IFERROR(__xludf.DUMMYFUNCTION("""COMPUTED_VALUE"""),"BI6208")</f>
        <v>BI6208</v>
      </c>
      <c r="D265" s="19" t="str">
        <f>IFERROR(__xludf.DUMMYFUNCTION("""COMPUTED_VALUE"""),"Lebu Santa Rosa Lebu")</f>
        <v>Lebu Santa Rosa Lebu</v>
      </c>
      <c r="E265" s="19" t="str">
        <f>IFERROR(__xludf.DUMMYFUNCTION("""COMPUTED_VALUE"""),"SITIO RFI")</f>
        <v>SITIO RFI</v>
      </c>
      <c r="F265" s="19" t="str">
        <f>IFERROR(__xludf.DUMMYFUNCTION("""COMPUTED_VALUE"""),"RFI")</f>
        <v>RFI</v>
      </c>
      <c r="G265" s="19" t="str">
        <f>IFERROR(__xludf.DUMMYFUNCTION("""COMPUTED_VALUE"""),"CV30")</f>
        <v>CV30</v>
      </c>
      <c r="H265" s="19" t="str">
        <f>IFERROR(__xludf.DUMMYFUNCTION("""COMPUTED_VALUE"""),"SYC")</f>
        <v>SYC</v>
      </c>
      <c r="I265" s="19" t="str">
        <f>IFERROR(__xludf.DUMMYFUNCTION("""COMPUTED_VALUE"""),"Entregada")</f>
        <v>Entregada</v>
      </c>
      <c r="J265" s="20">
        <f>IFERROR(__xludf.DUMMYFUNCTION("""COMPUTED_VALUE"""),44687.0)</f>
        <v>44687</v>
      </c>
      <c r="K265" s="19" t="str">
        <f>IFERROR(__xludf.DUMMYFUNCTION("""COMPUTED_VALUE"""),"Entregada")</f>
        <v>Entregada</v>
      </c>
      <c r="L265" s="20">
        <f>IFERROR(__xludf.DUMMYFUNCTION("""COMPUTED_VALUE"""),44816.0)</f>
        <v>44816</v>
      </c>
      <c r="M265" s="19" t="str">
        <f>IFERROR(__xludf.DUMMYFUNCTION("""COMPUTED_VALUE"""),"PCM")</f>
        <v>PCM</v>
      </c>
      <c r="N265" s="19" t="str">
        <f>IFERROR(__xludf.DUMMYFUNCTION("""COMPUTED_VALUE"""),"PRIORIDAD 1 Q3 2023 OCTUBRE")</f>
        <v>PRIORIDAD 1 Q3 2023 OCTUBRE</v>
      </c>
    </row>
    <row r="266" ht="15.75" customHeight="1">
      <c r="A266" s="19" t="str">
        <f>IFERROR(__xludf.DUMMYFUNCTION("""COMPUTED_VALUE"""),"AB_6209")</f>
        <v>AB_6209</v>
      </c>
      <c r="B266" s="19" t="str">
        <f>IFERROR(__xludf.DUMMYFUNCTION("""COMPUTED_VALUE"""),"AB_6209_G")</f>
        <v>AB_6209_G</v>
      </c>
      <c r="C266" s="19" t="str">
        <f>IFERROR(__xludf.DUMMYFUNCTION("""COMPUTED_VALUE"""),"BI6209")</f>
        <v>BI6209</v>
      </c>
      <c r="D266" s="19" t="str">
        <f>IFERROR(__xludf.DUMMYFUNCTION("""COMPUTED_VALUE"""),"Lebu Pehuen")</f>
        <v>Lebu Pehuen</v>
      </c>
      <c r="E266" s="19" t="str">
        <f>IFERROR(__xludf.DUMMYFUNCTION("""COMPUTED_VALUE"""),"SITIO RFI")</f>
        <v>SITIO RFI</v>
      </c>
      <c r="F266" s="19" t="str">
        <f>IFERROR(__xludf.DUMMYFUNCTION("""COMPUTED_VALUE"""),"RFI")</f>
        <v>RFI</v>
      </c>
      <c r="G266" s="19" t="str">
        <f>IFERROR(__xludf.DUMMYFUNCTION("""COMPUTED_VALUE"""),"AS60")</f>
        <v>AS60</v>
      </c>
      <c r="H266" s="19" t="str">
        <f>IFERROR(__xludf.DUMMYFUNCTION("""COMPUTED_VALUE"""),"DEITEL")</f>
        <v>DEITEL</v>
      </c>
      <c r="I266" s="19" t="str">
        <f>IFERROR(__xludf.DUMMYFUNCTION("""COMPUTED_VALUE"""),"Entregada")</f>
        <v>Entregada</v>
      </c>
      <c r="J266" s="20">
        <f>IFERROR(__xludf.DUMMYFUNCTION("""COMPUTED_VALUE"""),44705.0)</f>
        <v>44705</v>
      </c>
      <c r="K266" s="19" t="str">
        <f>IFERROR(__xludf.DUMMYFUNCTION("""COMPUTED_VALUE"""),"Entregada")</f>
        <v>Entregada</v>
      </c>
      <c r="L266" s="20">
        <f>IFERROR(__xludf.DUMMYFUNCTION("""COMPUTED_VALUE"""),44734.0)</f>
        <v>44734</v>
      </c>
      <c r="M266" s="19" t="str">
        <f>IFERROR(__xludf.DUMMYFUNCTION("""COMPUTED_VALUE"""),"PCM")</f>
        <v>PCM</v>
      </c>
      <c r="N266" s="19" t="str">
        <f>IFERROR(__xludf.DUMMYFUNCTION("""COMPUTED_VALUE"""),"PRIORIDAD 1 Q3 2023 OCTUBRE")</f>
        <v>PRIORIDAD 1 Q3 2023 OCTUBRE</v>
      </c>
    </row>
    <row r="267" ht="15.75" customHeight="1">
      <c r="A267" s="19" t="str">
        <f>IFERROR(__xludf.DUMMYFUNCTION("""COMPUTED_VALUE"""),"AB_6991")</f>
        <v>AB_6991</v>
      </c>
      <c r="B267" s="19" t="str">
        <f>IFERROR(__xludf.DUMMYFUNCTION("""COMPUTED_VALUE"""),"AB_6991_E")</f>
        <v>AB_6991_E</v>
      </c>
      <c r="C267" s="19" t="str">
        <f>IFERROR(__xludf.DUMMYFUNCTION("""COMPUTED_VALUE"""),"BI6991")</f>
        <v>BI6991</v>
      </c>
      <c r="D267" s="19" t="str">
        <f>IFERROR(__xludf.DUMMYFUNCTION("""COMPUTED_VALUE"""),"Maipu Concepcion")</f>
        <v>Maipu Concepcion</v>
      </c>
      <c r="E267" s="19" t="str">
        <f>IFERROR(__xludf.DUMMYFUNCTION("""COMPUTED_VALUE"""),"SITIO RFI")</f>
        <v>SITIO RFI</v>
      </c>
      <c r="F267" s="19" t="str">
        <f>IFERROR(__xludf.DUMMYFUNCTION("""COMPUTED_VALUE"""),"RFI")</f>
        <v>RFI</v>
      </c>
      <c r="G267" s="19" t="str">
        <f>IFERROR(__xludf.DUMMYFUNCTION("""COMPUTED_VALUE"""),"AZOTEA")</f>
        <v>AZOTEA</v>
      </c>
      <c r="H267" s="19" t="str">
        <f>IFERROR(__xludf.DUMMYFUNCTION("""COMPUTED_VALUE"""),"x")</f>
        <v>x</v>
      </c>
      <c r="I267" s="19" t="str">
        <f>IFERROR(__xludf.DUMMYFUNCTION("""COMPUTED_VALUE"""),"x")</f>
        <v>x</v>
      </c>
      <c r="J267" s="20" t="str">
        <f>IFERROR(__xludf.DUMMYFUNCTION("""COMPUTED_VALUE"""),"x")</f>
        <v>x</v>
      </c>
      <c r="K267" s="19" t="str">
        <f>IFERROR(__xludf.DUMMYFUNCTION("""COMPUTED_VALUE"""),"x")</f>
        <v>x</v>
      </c>
      <c r="L267" s="20" t="str">
        <f>IFERROR(__xludf.DUMMYFUNCTION("""COMPUTED_VALUE"""),"x")</f>
        <v>x</v>
      </c>
      <c r="M267" s="19" t="str">
        <f>IFERROR(__xludf.DUMMYFUNCTION("""COMPUTED_VALUE"""),"PCM")</f>
        <v>PCM</v>
      </c>
      <c r="N267" s="19" t="str">
        <f>IFERROR(__xludf.DUMMYFUNCTION("""COMPUTED_VALUE"""),"PRIORIDAD 1 Q3 2023 OCTUBRE")</f>
        <v>PRIORIDAD 1 Q3 2023 OCTUBRE</v>
      </c>
    </row>
    <row r="268" ht="15.75" customHeight="1">
      <c r="A268" s="19" t="str">
        <f>IFERROR(__xludf.DUMMYFUNCTION("""COMPUTED_VALUE"""),"AB_7012")</f>
        <v>AB_7012</v>
      </c>
      <c r="B268" s="19" t="str">
        <f>IFERROR(__xludf.DUMMYFUNCTION("""COMPUTED_VALUE"""),"AB_7012_K")</f>
        <v>AB_7012_K</v>
      </c>
      <c r="C268" s="19" t="str">
        <f>IFERROR(__xludf.DUMMYFUNCTION("""COMPUTED_VALUE"""),"BI7012")</f>
        <v>BI7012</v>
      </c>
      <c r="D268" s="19" t="str">
        <f>IFERROR(__xludf.DUMMYFUNCTION("""COMPUTED_VALUE"""),"MC_Aranas_Castellon RU")</f>
        <v>MC_Aranas_Castellon RU</v>
      </c>
      <c r="E268" s="19" t="str">
        <f>IFERROR(__xludf.DUMMYFUNCTION("""COMPUTED_VALUE"""),"DETENIDO SAC")</f>
        <v>DETENIDO SAC</v>
      </c>
      <c r="F268" s="19"/>
      <c r="G268" s="19" t="str">
        <f>IFERROR(__xludf.DUMMYFUNCTION("""COMPUTED_VALUE"""),"AZOTEA")</f>
        <v>AZOTEA</v>
      </c>
      <c r="H268" s="19" t="str">
        <f>IFERROR(__xludf.DUMMYFUNCTION("""COMPUTED_VALUE"""),"x")</f>
        <v>x</v>
      </c>
      <c r="I268" s="19" t="str">
        <f>IFERROR(__xludf.DUMMYFUNCTION("""COMPUTED_VALUE"""),"x")</f>
        <v>x</v>
      </c>
      <c r="J268" s="20" t="str">
        <f>IFERROR(__xludf.DUMMYFUNCTION("""COMPUTED_VALUE"""),"x")</f>
        <v>x</v>
      </c>
      <c r="K268" s="19" t="str">
        <f>IFERROR(__xludf.DUMMYFUNCTION("""COMPUTED_VALUE"""),"x")</f>
        <v>x</v>
      </c>
      <c r="L268" s="20" t="str">
        <f>IFERROR(__xludf.DUMMYFUNCTION("""COMPUTED_VALUE"""),"x")</f>
        <v>x</v>
      </c>
      <c r="M268" s="19" t="str">
        <f>IFERROR(__xludf.DUMMYFUNCTION("""COMPUTED_VALUE"""),"PCM")</f>
        <v>PCM</v>
      </c>
      <c r="N268" s="19" t="str">
        <f>IFERROR(__xludf.DUMMYFUNCTION("""COMPUTED_VALUE"""),"PRIORIDAD 3 Q1 2024 MARZO")</f>
        <v>PRIORIDAD 3 Q1 2024 MARZO</v>
      </c>
    </row>
    <row r="269" ht="15.75" customHeight="1">
      <c r="A269" s="19" t="str">
        <f>IFERROR(__xludf.DUMMYFUNCTION("""COMPUTED_VALUE"""),"AB_7543")</f>
        <v>AB_7543</v>
      </c>
      <c r="B269" s="19" t="str">
        <f>IFERROR(__xludf.DUMMYFUNCTION("""COMPUTED_VALUE"""),"AB_7543_C")</f>
        <v>AB_7543_C</v>
      </c>
      <c r="C269" s="19" t="str">
        <f>IFERROR(__xludf.DUMMYFUNCTION("""COMPUTED_VALUE"""),"BI7543")</f>
        <v>BI7543</v>
      </c>
      <c r="D269" s="19" t="str">
        <f>IFERROR(__xludf.DUMMYFUNCTION("""COMPUTED_VALUE"""),"Primera Compañia Coronel")</f>
        <v>Primera Compañia Coronel</v>
      </c>
      <c r="E269" s="19" t="str">
        <f>IFERROR(__xludf.DUMMYFUNCTION("""COMPUTED_VALUE"""),"SITIO PENDIENTE")</f>
        <v>SITIO PENDIENTE</v>
      </c>
      <c r="F269" s="19"/>
      <c r="G269" s="19" t="str">
        <f>IFERROR(__xludf.DUMMYFUNCTION("""COMPUTED_VALUE"""),"x")</f>
        <v>x</v>
      </c>
      <c r="H269" s="19" t="str">
        <f>IFERROR(__xludf.DUMMYFUNCTION("""COMPUTED_VALUE"""),"x")</f>
        <v>x</v>
      </c>
      <c r="I269" s="19" t="str">
        <f>IFERROR(__xludf.DUMMYFUNCTION("""COMPUTED_VALUE"""),"x")</f>
        <v>x</v>
      </c>
      <c r="J269" s="20" t="str">
        <f>IFERROR(__xludf.DUMMYFUNCTION("""COMPUTED_VALUE"""),"x")</f>
        <v>x</v>
      </c>
      <c r="K269" s="19" t="str">
        <f>IFERROR(__xludf.DUMMYFUNCTION("""COMPUTED_VALUE"""),"x")</f>
        <v>x</v>
      </c>
      <c r="L269" s="20" t="str">
        <f>IFERROR(__xludf.DUMMYFUNCTION("""COMPUTED_VALUE"""),"x")</f>
        <v>x</v>
      </c>
      <c r="M269" s="19" t="str">
        <f>IFERROR(__xludf.DUMMYFUNCTION("""COMPUTED_VALUE"""),"PP")</f>
        <v>PP</v>
      </c>
      <c r="N269" s="19" t="str">
        <f>IFERROR(__xludf.DUMMYFUNCTION("""COMPUTED_VALUE"""),"PRIORIDAD 3 Q1 2024 MARZO")</f>
        <v>PRIORIDAD 3 Q1 2024 MARZO</v>
      </c>
    </row>
    <row r="270" ht="15.75" customHeight="1">
      <c r="A270" s="19" t="str">
        <f>IFERROR(__xludf.DUMMYFUNCTION("""COMPUTED_VALUE"""),"AB_7616")</f>
        <v>AB_7616</v>
      </c>
      <c r="B270" s="19" t="str">
        <f>IFERROR(__xludf.DUMMYFUNCTION("""COMPUTED_VALUE"""),"AB_7616_G")</f>
        <v>AB_7616_G</v>
      </c>
      <c r="C270" s="19" t="str">
        <f>IFERROR(__xludf.DUMMYFUNCTION("""COMPUTED_VALUE"""),"BI7616")</f>
        <v>BI7616</v>
      </c>
      <c r="D270" s="19" t="str">
        <f>IFERROR(__xludf.DUMMYFUNCTION("""COMPUTED_VALUE"""),"EmpreUDEC Concepcion")</f>
        <v>EmpreUDEC Concepcion</v>
      </c>
      <c r="E270" s="19" t="str">
        <f>IFERROR(__xludf.DUMMYFUNCTION("""COMPUTED_VALUE"""),"DETENIDO SAC")</f>
        <v>DETENIDO SAC</v>
      </c>
      <c r="F270" s="19"/>
      <c r="G270" s="19" t="str">
        <f>IFERROR(__xludf.DUMMYFUNCTION("""COMPUTED_VALUE"""),"AZOTEA")</f>
        <v>AZOTEA</v>
      </c>
      <c r="H270" s="19" t="str">
        <f>IFERROR(__xludf.DUMMYFUNCTION("""COMPUTED_VALUE"""),"x")</f>
        <v>x</v>
      </c>
      <c r="I270" s="19" t="str">
        <f>IFERROR(__xludf.DUMMYFUNCTION("""COMPUTED_VALUE"""),"x")</f>
        <v>x</v>
      </c>
      <c r="J270" s="20" t="str">
        <f>IFERROR(__xludf.DUMMYFUNCTION("""COMPUTED_VALUE"""),"x")</f>
        <v>x</v>
      </c>
      <c r="K270" s="19" t="str">
        <f>IFERROR(__xludf.DUMMYFUNCTION("""COMPUTED_VALUE"""),"x")</f>
        <v>x</v>
      </c>
      <c r="L270" s="20" t="str">
        <f>IFERROR(__xludf.DUMMYFUNCTION("""COMPUTED_VALUE"""),"x")</f>
        <v>x</v>
      </c>
      <c r="M270" s="19" t="str">
        <f>IFERROR(__xludf.DUMMYFUNCTION("""COMPUTED_VALUE"""),"PCM")</f>
        <v>PCM</v>
      </c>
      <c r="N270" s="19" t="str">
        <f>IFERROR(__xludf.DUMMYFUNCTION("""COMPUTED_VALUE"""),"PRIORIDAD 3 Q1 2024 MARZO")</f>
        <v>PRIORIDAD 3 Q1 2024 MARZO</v>
      </c>
    </row>
    <row r="271" ht="15.75" customHeight="1">
      <c r="A271" s="19" t="str">
        <f>IFERROR(__xludf.DUMMYFUNCTION("""COMPUTED_VALUE"""),"AB_8140")</f>
        <v>AB_8140</v>
      </c>
      <c r="B271" s="19" t="str">
        <f>IFERROR(__xludf.DUMMYFUNCTION("""COMPUTED_VALUE"""),"AB_8140_C")</f>
        <v>AB_8140_C</v>
      </c>
      <c r="C271" s="19" t="str">
        <f>IFERROR(__xludf.DUMMYFUNCTION("""COMPUTED_VALUE"""),"BI8140")</f>
        <v>BI8140</v>
      </c>
      <c r="D271" s="19" t="str">
        <f>IFERROR(__xludf.DUMMYFUNCTION("""COMPUTED_VALUE"""),"Cerro Alto Contulmo")</f>
        <v>Cerro Alto Contulmo</v>
      </c>
      <c r="E271" s="19" t="str">
        <f>IFERROR(__xludf.DUMMYFUNCTION("""COMPUTED_VALUE"""),"DETENIDO PERTINENCIA")</f>
        <v>DETENIDO PERTINENCIA</v>
      </c>
      <c r="F271" s="19"/>
      <c r="G271" s="19" t="str">
        <f>IFERROR(__xludf.DUMMYFUNCTION("""COMPUTED_VALUE"""),"AS54")</f>
        <v>AS54</v>
      </c>
      <c r="H271" s="19" t="str">
        <f>IFERROR(__xludf.DUMMYFUNCTION("""COMPUTED_VALUE"""),"COMPRAS")</f>
        <v>COMPRAS</v>
      </c>
      <c r="I271" s="19"/>
      <c r="J271" s="19"/>
      <c r="K271" s="19"/>
      <c r="L271" s="19"/>
      <c r="M271" s="19" t="str">
        <f>IFERROR(__xludf.DUMMYFUNCTION("""COMPUTED_VALUE"""),"PCM")</f>
        <v>PCM</v>
      </c>
      <c r="N271" s="19" t="str">
        <f>IFERROR(__xludf.DUMMYFUNCTION("""COMPUTED_VALUE"""),"PRIORIDAD 3 Q1 2024 MARZO")</f>
        <v>PRIORIDAD 3 Q1 2024 MARZO</v>
      </c>
    </row>
    <row r="272" ht="15.75" customHeight="1">
      <c r="A272" s="19" t="str">
        <f>IFERROR(__xludf.DUMMYFUNCTION("""COMPUTED_VALUE"""),"AB_8165")</f>
        <v>AB_8165</v>
      </c>
      <c r="B272" s="19" t="str">
        <f>IFERROR(__xludf.DUMMYFUNCTION("""COMPUTED_VALUE"""),"AB_8165_A")</f>
        <v>AB_8165_A</v>
      </c>
      <c r="C272" s="19" t="str">
        <f>IFERROR(__xludf.DUMMYFUNCTION("""COMPUTED_VALUE"""),"BI8165")</f>
        <v>BI8165</v>
      </c>
      <c r="D272" s="19" t="str">
        <f>IFERROR(__xludf.DUMMYFUNCTION("""COMPUTED_VALUE"""),"Acceso Caleta Tumbes")</f>
        <v>Acceso Caleta Tumbes</v>
      </c>
      <c r="E272" s="19" t="str">
        <f>IFERROR(__xludf.DUMMYFUNCTION("""COMPUTED_VALUE"""),"SITIO PENDIENTE")</f>
        <v>SITIO PENDIENTE</v>
      </c>
      <c r="F272" s="19"/>
      <c r="G272" s="19" t="str">
        <f>IFERROR(__xludf.DUMMYFUNCTION("""COMPUTED_VALUE"""),"AS60")</f>
        <v>AS60</v>
      </c>
      <c r="H272" s="19" t="str">
        <f>IFERROR(__xludf.DUMMYFUNCTION("""COMPUTED_VALUE"""),"COMPRAS")</f>
        <v>COMPRAS</v>
      </c>
      <c r="I272" s="19"/>
      <c r="J272" s="19"/>
      <c r="K272" s="19"/>
      <c r="L272" s="19"/>
      <c r="M272" s="19" t="str">
        <f>IFERROR(__xludf.DUMMYFUNCTION("""COMPUTED_VALUE"""),"PCM")</f>
        <v>PCM</v>
      </c>
      <c r="N272" s="19" t="str">
        <f>IFERROR(__xludf.DUMMYFUNCTION("""COMPUTED_VALUE"""),"PRIORIDAD 3 Q1 2024 MARZO")</f>
        <v>PRIORIDAD 3 Q1 2024 MARZO</v>
      </c>
    </row>
    <row r="273" ht="15.75" customHeight="1">
      <c r="A273" s="19" t="str">
        <f>IFERROR(__xludf.DUMMYFUNCTION("""COMPUTED_VALUE"""),"AB_8167")</f>
        <v>AB_8167</v>
      </c>
      <c r="B273" s="19" t="str">
        <f>IFERROR(__xludf.DUMMYFUNCTION("""COMPUTED_VALUE"""),"AB_8167_C")</f>
        <v>AB_8167_C</v>
      </c>
      <c r="C273" s="19" t="str">
        <f>IFERROR(__xludf.DUMMYFUNCTION("""COMPUTED_VALUE"""),"BI8167")</f>
        <v>BI8167</v>
      </c>
      <c r="D273" s="19" t="str">
        <f>IFERROR(__xludf.DUMMYFUNCTION("""COMPUTED_VALUE"""),"Ruta 158 a Rafael")</f>
        <v>Ruta 158 a Rafael</v>
      </c>
      <c r="E273" s="19" t="str">
        <f>IFERROR(__xludf.DUMMYFUNCTION("""COMPUTED_VALUE"""),"SITIO RFI")</f>
        <v>SITIO RFI</v>
      </c>
      <c r="F273" s="19" t="str">
        <f>IFERROR(__xludf.DUMMYFUNCTION("""COMPUTED_VALUE"""),"RFI")</f>
        <v>RFI</v>
      </c>
      <c r="G273" s="19" t="str">
        <f>IFERROR(__xludf.DUMMYFUNCTION("""COMPUTED_VALUE"""),"AS60")</f>
        <v>AS60</v>
      </c>
      <c r="H273" s="19" t="str">
        <f>IFERROR(__xludf.DUMMYFUNCTION("""COMPUTED_VALUE"""),"MT")</f>
        <v>MT</v>
      </c>
      <c r="I273" s="19" t="str">
        <f>IFERROR(__xludf.DUMMYFUNCTION("""COMPUTED_VALUE"""),"Entregada")</f>
        <v>Entregada</v>
      </c>
      <c r="J273" s="20">
        <f>IFERROR(__xludf.DUMMYFUNCTION("""COMPUTED_VALUE"""),44578.0)</f>
        <v>44578</v>
      </c>
      <c r="K273" s="19" t="str">
        <f>IFERROR(__xludf.DUMMYFUNCTION("""COMPUTED_VALUE"""),"Entregada")</f>
        <v>Entregada</v>
      </c>
      <c r="L273" s="20">
        <f>IFERROR(__xludf.DUMMYFUNCTION("""COMPUTED_VALUE"""),44558.0)</f>
        <v>44558</v>
      </c>
      <c r="M273" s="19" t="str">
        <f>IFERROR(__xludf.DUMMYFUNCTION("""COMPUTED_VALUE"""),"PCM")</f>
        <v>PCM</v>
      </c>
      <c r="N273" s="19" t="str">
        <f>IFERROR(__xludf.DUMMYFUNCTION("""COMPUTED_VALUE"""),"PRIORIDAD 1 Q3 2023 OCTUBRE")</f>
        <v>PRIORIDAD 1 Q3 2023 OCTUBRE</v>
      </c>
    </row>
    <row r="274" ht="15.75" customHeight="1">
      <c r="A274" s="19" t="str">
        <f>IFERROR(__xludf.DUMMYFUNCTION("""COMPUTED_VALUE"""),"AB_8171")</f>
        <v>AB_8171</v>
      </c>
      <c r="B274" s="19" t="str">
        <f>IFERROR(__xludf.DUMMYFUNCTION("""COMPUTED_VALUE"""),"AB_8171_E")</f>
        <v>AB_8171_E</v>
      </c>
      <c r="C274" s="19" t="str">
        <f>IFERROR(__xludf.DUMMYFUNCTION("""COMPUTED_VALUE"""),"BI8171")</f>
        <v>BI8171</v>
      </c>
      <c r="D274" s="19" t="str">
        <f>IFERROR(__xludf.DUMMYFUNCTION("""COMPUTED_VALUE"""),"Las Corrientes Lebu")</f>
        <v>Las Corrientes Lebu</v>
      </c>
      <c r="E274" s="19" t="str">
        <f>IFERROR(__xludf.DUMMYFUNCTION("""COMPUTED_VALUE"""),"SITIO RFI")</f>
        <v>SITIO RFI</v>
      </c>
      <c r="F274" s="19" t="str">
        <f>IFERROR(__xludf.DUMMYFUNCTION("""COMPUTED_VALUE"""),"MONTAJE")</f>
        <v>MONTAJE</v>
      </c>
      <c r="G274" s="19" t="str">
        <f>IFERROR(__xludf.DUMMYFUNCTION("""COMPUTED_VALUE"""),"CV60")</f>
        <v>CV60</v>
      </c>
      <c r="H274" s="19" t="str">
        <f>IFERROR(__xludf.DUMMYFUNCTION("""COMPUTED_VALUE"""),"DEPROMET")</f>
        <v>DEPROMET</v>
      </c>
      <c r="I274" s="19" t="str">
        <f>IFERROR(__xludf.DUMMYFUNCTION("""COMPUTED_VALUE"""),"Entregada")</f>
        <v>Entregada</v>
      </c>
      <c r="J274" s="20">
        <f>IFERROR(__xludf.DUMMYFUNCTION("""COMPUTED_VALUE"""),45001.0)</f>
        <v>45001</v>
      </c>
      <c r="K274" s="19" t="str">
        <f>IFERROR(__xludf.DUMMYFUNCTION("""COMPUTED_VALUE"""),"Entregada")</f>
        <v>Entregada</v>
      </c>
      <c r="L274" s="20">
        <f>IFERROR(__xludf.DUMMYFUNCTION("""COMPUTED_VALUE"""),45001.0)</f>
        <v>45001</v>
      </c>
      <c r="M274" s="19" t="str">
        <f>IFERROR(__xludf.DUMMYFUNCTION("""COMPUTED_VALUE"""),"PCM")</f>
        <v>PCM</v>
      </c>
      <c r="N274" s="19" t="str">
        <f>IFERROR(__xludf.DUMMYFUNCTION("""COMPUTED_VALUE"""),"PRIORIDAD 1 Q3 2023 OCTUBRE")</f>
        <v>PRIORIDAD 1 Q3 2023 OCTUBRE</v>
      </c>
    </row>
    <row r="275" ht="15.75" customHeight="1">
      <c r="A275" s="19" t="str">
        <f>IFERROR(__xludf.DUMMYFUNCTION("""COMPUTED_VALUE"""),"AB_8178")</f>
        <v>AB_8178</v>
      </c>
      <c r="B275" s="19" t="str">
        <f>IFERROR(__xludf.DUMMYFUNCTION("""COMPUTED_VALUE"""),"AB_8178_A")</f>
        <v>AB_8178_A</v>
      </c>
      <c r="C275" s="19" t="str">
        <f>IFERROR(__xludf.DUMMYFUNCTION("""COMPUTED_VALUE"""),"BI8178")</f>
        <v>BI8178</v>
      </c>
      <c r="D275" s="19" t="str">
        <f>IFERROR(__xludf.DUMMYFUNCTION("""COMPUTED_VALUE"""),"Villa Los Ríos Los Alamos")</f>
        <v>Villa Los Ríos Los Alamos</v>
      </c>
      <c r="E275" s="19" t="str">
        <f>IFERROR(__xludf.DUMMYFUNCTION("""COMPUTED_VALUE"""),"SITIO RFI")</f>
        <v>SITIO RFI</v>
      </c>
      <c r="F275" s="19" t="str">
        <f>IFERROR(__xludf.DUMMYFUNCTION("""COMPUTED_VALUE"""),"RFI")</f>
        <v>RFI</v>
      </c>
      <c r="G275" s="19" t="str">
        <f>IFERROR(__xludf.DUMMYFUNCTION("""COMPUTED_VALUE"""),"AS60")</f>
        <v>AS60</v>
      </c>
      <c r="H275" s="19" t="str">
        <f>IFERROR(__xludf.DUMMYFUNCTION("""COMPUTED_VALUE"""),"ADM")</f>
        <v>ADM</v>
      </c>
      <c r="I275" s="19" t="str">
        <f>IFERROR(__xludf.DUMMYFUNCTION("""COMPUTED_VALUE"""),"Entregada")</f>
        <v>Entregada</v>
      </c>
      <c r="J275" s="20">
        <f>IFERROR(__xludf.DUMMYFUNCTION("""COMPUTED_VALUE"""),44750.0)</f>
        <v>44750</v>
      </c>
      <c r="K275" s="19" t="str">
        <f>IFERROR(__xludf.DUMMYFUNCTION("""COMPUTED_VALUE"""),"Entregada")</f>
        <v>Entregada</v>
      </c>
      <c r="L275" s="20">
        <f>IFERROR(__xludf.DUMMYFUNCTION("""COMPUTED_VALUE"""),44778.0)</f>
        <v>44778</v>
      </c>
      <c r="M275" s="19" t="str">
        <f>IFERROR(__xludf.DUMMYFUNCTION("""COMPUTED_VALUE"""),"PP")</f>
        <v>PP</v>
      </c>
      <c r="N275" s="19" t="str">
        <f>IFERROR(__xludf.DUMMYFUNCTION("""COMPUTED_VALUE"""),"PRIORIDAD 1 Q3 2023 OCTUBRE")</f>
        <v>PRIORIDAD 1 Q3 2023 OCTUBRE</v>
      </c>
    </row>
    <row r="276" ht="15.75" customHeight="1">
      <c r="A276" s="19" t="str">
        <f>IFERROR(__xludf.DUMMYFUNCTION("""COMPUTED_VALUE"""),"AB_9713")</f>
        <v>AB_9713</v>
      </c>
      <c r="B276" s="19" t="str">
        <f>IFERROR(__xludf.DUMMYFUNCTION("""COMPUTED_VALUE"""),"AB_9713_A")</f>
        <v>AB_9713_A</v>
      </c>
      <c r="C276" s="19" t="str">
        <f>IFERROR(__xludf.DUMMYFUNCTION("""COMPUTED_VALUE"""),"AT9713")</f>
        <v>AT9713</v>
      </c>
      <c r="D276" s="19" t="str">
        <f>IFERROR(__xludf.DUMMYFUNCTION("""COMPUTED_VALUE"""),"Caleta Los Bronces")</f>
        <v>Caleta Los Bronces</v>
      </c>
      <c r="E276" s="19" t="str">
        <f>IFERROR(__xludf.DUMMYFUNCTION("""COMPUTED_VALUE"""),"SITIO RFI")</f>
        <v>SITIO RFI</v>
      </c>
      <c r="F276" s="19" t="str">
        <f>IFERROR(__xludf.DUMMYFUNCTION("""COMPUTED_VALUE"""),"RFI")</f>
        <v>RFI</v>
      </c>
      <c r="G276" s="19" t="str">
        <f>IFERROR(__xludf.DUMMYFUNCTION("""COMPUTED_VALUE"""),"CV48")</f>
        <v>CV48</v>
      </c>
      <c r="H276" s="19" t="str">
        <f>IFERROR(__xludf.DUMMYFUNCTION("""COMPUTED_VALUE"""),"DEITEL")</f>
        <v>DEITEL</v>
      </c>
      <c r="I276" s="19" t="str">
        <f>IFERROR(__xludf.DUMMYFUNCTION("""COMPUTED_VALUE"""),"Entregada")</f>
        <v>Entregada</v>
      </c>
      <c r="J276" s="20">
        <f>IFERROR(__xludf.DUMMYFUNCTION("""COMPUTED_VALUE"""),44883.0)</f>
        <v>44883</v>
      </c>
      <c r="K276" s="19" t="str">
        <f>IFERROR(__xludf.DUMMYFUNCTION("""COMPUTED_VALUE"""),"Entregada")</f>
        <v>Entregada</v>
      </c>
      <c r="L276" s="20">
        <f>IFERROR(__xludf.DUMMYFUNCTION("""COMPUTED_VALUE"""),44904.0)</f>
        <v>44904</v>
      </c>
      <c r="M276" s="19" t="str">
        <f>IFERROR(__xludf.DUMMYFUNCTION("""COMPUTED_VALUE"""),"PCM")</f>
        <v>PCM</v>
      </c>
      <c r="N276" s="19" t="str">
        <f>IFERROR(__xludf.DUMMYFUNCTION("""COMPUTED_VALUE"""),"PRIORIDAD 1 Q3 2023 OCTUBRE")</f>
        <v>PRIORIDAD 1 Q3 2023 OCTUBRE</v>
      </c>
    </row>
    <row r="277" ht="15.75" customHeight="1">
      <c r="A277" s="19" t="str">
        <f>IFERROR(__xludf.DUMMYFUNCTION("""COMPUTED_VALUE"""),"AB_8186")</f>
        <v>AB_8186</v>
      </c>
      <c r="B277" s="19" t="str">
        <f>IFERROR(__xludf.DUMMYFUNCTION("""COMPUTED_VALUE"""),"AB_8186_B")</f>
        <v>AB_8186_B</v>
      </c>
      <c r="C277" s="19" t="str">
        <f>IFERROR(__xludf.DUMMYFUNCTION("""COMPUTED_VALUE"""),"BI8186")</f>
        <v>BI8186</v>
      </c>
      <c r="D277" s="19" t="str">
        <f>IFERROR(__xludf.DUMMYFUNCTION("""COMPUTED_VALUE"""),"Santa Barbara Norte")</f>
        <v>Santa Barbara Norte</v>
      </c>
      <c r="E277" s="19" t="str">
        <f>IFERROR(__xludf.DUMMYFUNCTION("""COMPUTED_VALUE"""),"SITIO RFI")</f>
        <v>SITIO RFI</v>
      </c>
      <c r="F277" s="19" t="str">
        <f>IFERROR(__xludf.DUMMYFUNCTION("""COMPUTED_VALUE"""),"RFI")</f>
        <v>RFI</v>
      </c>
      <c r="G277" s="19" t="str">
        <f>IFERROR(__xludf.DUMMYFUNCTION("""COMPUTED_VALUE"""),"AS60")</f>
        <v>AS60</v>
      </c>
      <c r="H277" s="19" t="str">
        <f>IFERROR(__xludf.DUMMYFUNCTION("""COMPUTED_VALUE"""),"AJ")</f>
        <v>AJ</v>
      </c>
      <c r="I277" s="19" t="str">
        <f>IFERROR(__xludf.DUMMYFUNCTION("""COMPUTED_VALUE"""),"Entregada")</f>
        <v>Entregada</v>
      </c>
      <c r="J277" s="20">
        <f>IFERROR(__xludf.DUMMYFUNCTION("""COMPUTED_VALUE"""),44656.0)</f>
        <v>44656</v>
      </c>
      <c r="K277" s="19" t="str">
        <f>IFERROR(__xludf.DUMMYFUNCTION("""COMPUTED_VALUE"""),"Entregada")</f>
        <v>Entregada</v>
      </c>
      <c r="L277" s="20">
        <f>IFERROR(__xludf.DUMMYFUNCTION("""COMPUTED_VALUE"""),44636.0)</f>
        <v>44636</v>
      </c>
      <c r="M277" s="19" t="str">
        <f>IFERROR(__xludf.DUMMYFUNCTION("""COMPUTED_VALUE"""),"PCM")</f>
        <v>PCM</v>
      </c>
      <c r="N277" s="19" t="str">
        <f>IFERROR(__xludf.DUMMYFUNCTION("""COMPUTED_VALUE"""),"PRIORIDAD 1 Q3 2023 OCTUBRE")</f>
        <v>PRIORIDAD 1 Q3 2023 OCTUBRE</v>
      </c>
    </row>
    <row r="278" ht="15.75" customHeight="1">
      <c r="A278" s="19" t="str">
        <f>IFERROR(__xludf.DUMMYFUNCTION("""COMPUTED_VALUE"""),"AB_8187")</f>
        <v>AB_8187</v>
      </c>
      <c r="B278" s="19" t="str">
        <f>IFERROR(__xludf.DUMMYFUNCTION("""COMPUTED_VALUE"""),"AB_8187_A")</f>
        <v>AB_8187_A</v>
      </c>
      <c r="C278" s="19" t="str">
        <f>IFERROR(__xludf.DUMMYFUNCTION("""COMPUTED_VALUE"""),"BI8187")</f>
        <v>BI8187</v>
      </c>
      <c r="D278" s="19" t="str">
        <f>IFERROR(__xludf.DUMMYFUNCTION("""COMPUTED_VALUE"""),"Villucura Santa Barbara")</f>
        <v>Villucura Santa Barbara</v>
      </c>
      <c r="E278" s="19" t="str">
        <f>IFERROR(__xludf.DUMMYFUNCTION("""COMPUTED_VALUE"""),"SITIO RFI")</f>
        <v>SITIO RFI</v>
      </c>
      <c r="F278" s="19" t="str">
        <f>IFERROR(__xludf.DUMMYFUNCTION("""COMPUTED_VALUE"""),"RFI")</f>
        <v>RFI</v>
      </c>
      <c r="G278" s="19" t="str">
        <f>IFERROR(__xludf.DUMMYFUNCTION("""COMPUTED_VALUE"""),"AS60")</f>
        <v>AS60</v>
      </c>
      <c r="H278" s="19" t="str">
        <f>IFERROR(__xludf.DUMMYFUNCTION("""COMPUTED_VALUE"""),"MT")</f>
        <v>MT</v>
      </c>
      <c r="I278" s="19" t="str">
        <f>IFERROR(__xludf.DUMMYFUNCTION("""COMPUTED_VALUE"""),"Entregada")</f>
        <v>Entregada</v>
      </c>
      <c r="J278" s="20">
        <f>IFERROR(__xludf.DUMMYFUNCTION("""COMPUTED_VALUE"""),44235.0)</f>
        <v>44235</v>
      </c>
      <c r="K278" s="19" t="str">
        <f>IFERROR(__xludf.DUMMYFUNCTION("""COMPUTED_VALUE"""),"Entregada")</f>
        <v>Entregada</v>
      </c>
      <c r="L278" s="20">
        <f>IFERROR(__xludf.DUMMYFUNCTION("""COMPUTED_VALUE"""),44235.0)</f>
        <v>44235</v>
      </c>
      <c r="M278" s="19" t="str">
        <f>IFERROR(__xludf.DUMMYFUNCTION("""COMPUTED_VALUE"""),"PCM")</f>
        <v>PCM</v>
      </c>
      <c r="N278" s="19" t="str">
        <f>IFERROR(__xludf.DUMMYFUNCTION("""COMPUTED_VALUE"""),"PRIORIDAD 1 Q3 2023 OCTUBRE")</f>
        <v>PRIORIDAD 1 Q3 2023 OCTUBRE</v>
      </c>
    </row>
    <row r="279" ht="15.75" customHeight="1">
      <c r="A279" s="19" t="str">
        <f>IFERROR(__xludf.DUMMYFUNCTION("""COMPUTED_VALUE"""),"AB_8190")</f>
        <v>AB_8190</v>
      </c>
      <c r="B279" s="19" t="str">
        <f>IFERROR(__xludf.DUMMYFUNCTION("""COMPUTED_VALUE"""),"AB_8190_A")</f>
        <v>AB_8190_A</v>
      </c>
      <c r="C279" s="19" t="str">
        <f>IFERROR(__xludf.DUMMYFUNCTION("""COMPUTED_VALUE"""),"BI8190")</f>
        <v>BI8190</v>
      </c>
      <c r="D279" s="19" t="str">
        <f>IFERROR(__xludf.DUMMYFUNCTION("""COMPUTED_VALUE"""),"Ruta O-556")</f>
        <v>Ruta O-556</v>
      </c>
      <c r="E279" s="19" t="str">
        <f>IFERROR(__xludf.DUMMYFUNCTION("""COMPUTED_VALUE"""),"SITIO RFI")</f>
        <v>SITIO RFI</v>
      </c>
      <c r="F279" s="19" t="str">
        <f>IFERROR(__xludf.DUMMYFUNCTION("""COMPUTED_VALUE"""),"RFI")</f>
        <v>RFI</v>
      </c>
      <c r="G279" s="19" t="str">
        <f>IFERROR(__xludf.DUMMYFUNCTION("""COMPUTED_VALUE"""),"AS36")</f>
        <v>AS36</v>
      </c>
      <c r="H279" s="19" t="str">
        <f>IFERROR(__xludf.DUMMYFUNCTION("""COMPUTED_VALUE"""),"MER")</f>
        <v>MER</v>
      </c>
      <c r="I279" s="19" t="str">
        <f>IFERROR(__xludf.DUMMYFUNCTION("""COMPUTED_VALUE"""),"Entregada")</f>
        <v>Entregada</v>
      </c>
      <c r="J279" s="20">
        <f>IFERROR(__xludf.DUMMYFUNCTION("""COMPUTED_VALUE"""),44673.0)</f>
        <v>44673</v>
      </c>
      <c r="K279" s="19" t="str">
        <f>IFERROR(__xludf.DUMMYFUNCTION("""COMPUTED_VALUE"""),"Entregada")</f>
        <v>Entregada</v>
      </c>
      <c r="L279" s="20">
        <f>IFERROR(__xludf.DUMMYFUNCTION("""COMPUTED_VALUE"""),44671.0)</f>
        <v>44671</v>
      </c>
      <c r="M279" s="19" t="str">
        <f>IFERROR(__xludf.DUMMYFUNCTION("""COMPUTED_VALUE"""),"PCM")</f>
        <v>PCM</v>
      </c>
      <c r="N279" s="19" t="str">
        <f>IFERROR(__xludf.DUMMYFUNCTION("""COMPUTED_VALUE"""),"PRIORIDAD 1 Q3 2023 OCTUBRE")</f>
        <v>PRIORIDAD 1 Q3 2023 OCTUBRE</v>
      </c>
    </row>
    <row r="280" ht="15.75" customHeight="1">
      <c r="A280" s="19" t="str">
        <f>IFERROR(__xludf.DUMMYFUNCTION("""COMPUTED_VALUE"""),"AB_8196")</f>
        <v>AB_8196</v>
      </c>
      <c r="B280" s="19" t="str">
        <f>IFERROR(__xludf.DUMMYFUNCTION("""COMPUTED_VALUE"""),"AB_8196_C")</f>
        <v>AB_8196_C</v>
      </c>
      <c r="C280" s="19" t="str">
        <f>IFERROR(__xludf.DUMMYFUNCTION("""COMPUTED_VALUE"""),"BI8196")</f>
        <v>BI8196</v>
      </c>
      <c r="D280" s="19" t="str">
        <f>IFERROR(__xludf.DUMMYFUNCTION("""COMPUTED_VALUE"""),"Termas Nitrao Cerro")</f>
        <v>Termas Nitrao Cerro</v>
      </c>
      <c r="E280" s="19" t="str">
        <f>IFERROR(__xludf.DUMMYFUNCTION("""COMPUTED_VALUE"""),"SITIO ASIGNADO")</f>
        <v>SITIO ASIGNADO</v>
      </c>
      <c r="F280" s="19" t="str">
        <f>IFERROR(__xludf.DUMMYFUNCTION("""COMPUTED_VALUE"""),"VISITA")</f>
        <v>VISITA</v>
      </c>
      <c r="G280" s="19" t="str">
        <f>IFERROR(__xludf.DUMMYFUNCTION("""COMPUTED_VALUE"""),"CV60")</f>
        <v>CV60</v>
      </c>
      <c r="H280" s="19" t="str">
        <f>IFERROR(__xludf.DUMMYFUNCTION("""COMPUTED_VALUE"""),"ADM")</f>
        <v>ADM</v>
      </c>
      <c r="I280" s="19" t="str">
        <f>IFERROR(__xludf.DUMMYFUNCTION("""COMPUTED_VALUE"""),"Terminada")</f>
        <v>Terminada</v>
      </c>
      <c r="J280" s="20">
        <f>IFERROR(__xludf.DUMMYFUNCTION("""COMPUTED_VALUE"""),44743.0)</f>
        <v>44743</v>
      </c>
      <c r="K280" s="19" t="str">
        <f>IFERROR(__xludf.DUMMYFUNCTION("""COMPUTED_VALUE"""),"Terminada")</f>
        <v>Terminada</v>
      </c>
      <c r="L280" s="20">
        <f>IFERROR(__xludf.DUMMYFUNCTION("""COMPUTED_VALUE"""),44876.0)</f>
        <v>44876</v>
      </c>
      <c r="M280" s="19" t="str">
        <f>IFERROR(__xludf.DUMMYFUNCTION("""COMPUTED_VALUE"""),"PCM")</f>
        <v>PCM</v>
      </c>
      <c r="N280" s="19" t="str">
        <f>IFERROR(__xludf.DUMMYFUNCTION("""COMPUTED_VALUE"""),"PRIORIDAD 1 Q3 2023 OCTUBRE")</f>
        <v>PRIORIDAD 1 Q3 2023 OCTUBRE</v>
      </c>
    </row>
    <row r="281" ht="15.75" customHeight="1">
      <c r="A281" s="19" t="str">
        <f>IFERROR(__xludf.DUMMYFUNCTION("""COMPUTED_VALUE"""),"AB_8197")</f>
        <v>AB_8197</v>
      </c>
      <c r="B281" s="19" t="str">
        <f>IFERROR(__xludf.DUMMYFUNCTION("""COMPUTED_VALUE"""),"AB_8197_A")</f>
        <v>AB_8197_A</v>
      </c>
      <c r="C281" s="19" t="str">
        <f>IFERROR(__xludf.DUMMYFUNCTION("""COMPUTED_VALUE"""),"BI8197")</f>
        <v>BI8197</v>
      </c>
      <c r="D281" s="19" t="str">
        <f>IFERROR(__xludf.DUMMYFUNCTION("""COMPUTED_VALUE"""),"Santa Graciela Concepción")</f>
        <v>Santa Graciela Concepción</v>
      </c>
      <c r="E281" s="19" t="str">
        <f>IFERROR(__xludf.DUMMYFUNCTION("""COMPUTED_VALUE"""),"SITIO PENDIENTE")</f>
        <v>SITIO PENDIENTE</v>
      </c>
      <c r="F281" s="19"/>
      <c r="G281" s="19" t="str">
        <f>IFERROR(__xludf.DUMMYFUNCTION("""COMPUTED_VALUE"""),"x")</f>
        <v>x</v>
      </c>
      <c r="H281" s="19" t="str">
        <f>IFERROR(__xludf.DUMMYFUNCTION("""COMPUTED_VALUE"""),"x")</f>
        <v>x</v>
      </c>
      <c r="I281" s="19" t="str">
        <f>IFERROR(__xludf.DUMMYFUNCTION("""COMPUTED_VALUE"""),"x")</f>
        <v>x</v>
      </c>
      <c r="J281" s="20" t="str">
        <f>IFERROR(__xludf.DUMMYFUNCTION("""COMPUTED_VALUE"""),"x")</f>
        <v>x</v>
      </c>
      <c r="K281" s="19" t="str">
        <f>IFERROR(__xludf.DUMMYFUNCTION("""COMPUTED_VALUE"""),"x")</f>
        <v>x</v>
      </c>
      <c r="L281" s="20" t="str">
        <f>IFERROR(__xludf.DUMMYFUNCTION("""COMPUTED_VALUE"""),"x")</f>
        <v>x</v>
      </c>
      <c r="M281" s="19" t="str">
        <f>IFERROR(__xludf.DUMMYFUNCTION("""COMPUTED_VALUE"""),"PCM")</f>
        <v>PCM</v>
      </c>
      <c r="N281" s="19" t="str">
        <f>IFERROR(__xludf.DUMMYFUNCTION("""COMPUTED_VALUE"""),"PRIORIDAD 3 Q1 2024 MARZO")</f>
        <v>PRIORIDAD 3 Q1 2024 MARZO</v>
      </c>
    </row>
    <row r="282" ht="15.75" customHeight="1">
      <c r="A282" s="19" t="str">
        <f>IFERROR(__xludf.DUMMYFUNCTION("""COMPUTED_VALUE"""),"AB_8199")</f>
        <v>AB_8199</v>
      </c>
      <c r="B282" s="19" t="str">
        <f>IFERROR(__xludf.DUMMYFUNCTION("""COMPUTED_VALUE"""),"AB_8199_A")</f>
        <v>AB_8199_A</v>
      </c>
      <c r="C282" s="19" t="str">
        <f>IFERROR(__xludf.DUMMYFUNCTION("""COMPUTED_VALUE"""),"BI8199")</f>
        <v>BI8199</v>
      </c>
      <c r="D282" s="19" t="str">
        <f>IFERROR(__xludf.DUMMYFUNCTION("""COMPUTED_VALUE"""),"Ruta O-680")</f>
        <v>Ruta O-680</v>
      </c>
      <c r="E282" s="19" t="str">
        <f>IFERROR(__xludf.DUMMYFUNCTION("""COMPUTED_VALUE"""),"SITIO PENDIENTE")</f>
        <v>SITIO PENDIENTE</v>
      </c>
      <c r="F282" s="19"/>
      <c r="G282" s="19" t="str">
        <f>IFERROR(__xludf.DUMMYFUNCTION("""COMPUTED_VALUE"""),"AS60")</f>
        <v>AS60</v>
      </c>
      <c r="H282" s="19" t="str">
        <f>IFERROR(__xludf.DUMMYFUNCTION("""COMPUTED_VALUE"""),"COMPRAS")</f>
        <v>COMPRAS</v>
      </c>
      <c r="I282" s="19"/>
      <c r="J282" s="19"/>
      <c r="K282" s="19"/>
      <c r="L282" s="19"/>
      <c r="M282" s="19" t="str">
        <f>IFERROR(__xludf.DUMMYFUNCTION("""COMPUTED_VALUE"""),"PCM")</f>
        <v>PCM</v>
      </c>
      <c r="N282" s="19" t="str">
        <f>IFERROR(__xludf.DUMMYFUNCTION("""COMPUTED_VALUE"""),"PRIORIDAD 3 Q1 2024 MARZO")</f>
        <v>PRIORIDAD 3 Q1 2024 MARZO</v>
      </c>
    </row>
    <row r="283" ht="15.75" customHeight="1">
      <c r="A283" s="19" t="str">
        <f>IFERROR(__xludf.DUMMYFUNCTION("""COMPUTED_VALUE"""),"AB_8204")</f>
        <v>AB_8204</v>
      </c>
      <c r="B283" s="19" t="str">
        <f>IFERROR(__xludf.DUMMYFUNCTION("""COMPUTED_VALUE"""),"AB_8204_B")</f>
        <v>AB_8204_B</v>
      </c>
      <c r="C283" s="19" t="str">
        <f>IFERROR(__xludf.DUMMYFUNCTION("""COMPUTED_VALUE"""),"BI8204")</f>
        <v>BI8204</v>
      </c>
      <c r="D283" s="19" t="str">
        <f>IFERROR(__xludf.DUMMYFUNCTION("""COMPUTED_VALUE"""),"Bosques San Pedro de La Paz")</f>
        <v>Bosques San Pedro de La Paz</v>
      </c>
      <c r="E283" s="19" t="str">
        <f>IFERROR(__xludf.DUMMYFUNCTION("""COMPUTED_VALUE"""),"SITIO PENDIENTE")</f>
        <v>SITIO PENDIENTE</v>
      </c>
      <c r="F283" s="19"/>
      <c r="G283" s="19" t="str">
        <f>IFERROR(__xludf.DUMMYFUNCTION("""COMPUTED_VALUE"""),"CV60")</f>
        <v>CV60</v>
      </c>
      <c r="H283" s="19" t="str">
        <f>IFERROR(__xludf.DUMMYFUNCTION("""COMPUTED_VALUE"""),"")</f>
        <v/>
      </c>
      <c r="I283" s="19" t="str">
        <f>IFERROR(__xludf.DUMMYFUNCTION("""COMPUTED_VALUE"""),"")</f>
        <v/>
      </c>
      <c r="J283" s="20" t="str">
        <f>IFERROR(__xludf.DUMMYFUNCTION("""COMPUTED_VALUE"""),"")</f>
        <v/>
      </c>
      <c r="K283" s="19" t="str">
        <f>IFERROR(__xludf.DUMMYFUNCTION("""COMPUTED_VALUE"""),"")</f>
        <v/>
      </c>
      <c r="L283" s="20" t="str">
        <f>IFERROR(__xludf.DUMMYFUNCTION("""COMPUTED_VALUE"""),"")</f>
        <v/>
      </c>
      <c r="M283" s="19" t="str">
        <f>IFERROR(__xludf.DUMMYFUNCTION("""COMPUTED_VALUE"""),"PCM")</f>
        <v>PCM</v>
      </c>
      <c r="N283" s="19" t="str">
        <f>IFERROR(__xludf.DUMMYFUNCTION("""COMPUTED_VALUE"""),"PRIORIDAD 3 Q1 2024 MARZO")</f>
        <v>PRIORIDAD 3 Q1 2024 MARZO</v>
      </c>
    </row>
    <row r="284" ht="15.75" customHeight="1">
      <c r="A284" s="19" t="str">
        <f>IFERROR(__xludf.DUMMYFUNCTION("""COMPUTED_VALUE"""),"AB_8207")</f>
        <v>AB_8207</v>
      </c>
      <c r="B284" s="19" t="str">
        <f>IFERROR(__xludf.DUMMYFUNCTION("""COMPUTED_VALUE"""),"AB_8207_A")</f>
        <v>AB_8207_A</v>
      </c>
      <c r="C284" s="19" t="str">
        <f>IFERROR(__xludf.DUMMYFUNCTION("""COMPUTED_VALUE"""),"BI8207")</f>
        <v>BI8207</v>
      </c>
      <c r="D284" s="19" t="str">
        <f>IFERROR(__xludf.DUMMYFUNCTION("""COMPUTED_VALUE"""),"Reserva Nonguén Poniente")</f>
        <v>Reserva Nonguén Poniente</v>
      </c>
      <c r="E284" s="19" t="str">
        <f>IFERROR(__xludf.DUMMYFUNCTION("""COMPUTED_VALUE"""),"SITIO RFI")</f>
        <v>SITIO RFI</v>
      </c>
      <c r="F284" s="19" t="str">
        <f>IFERROR(__xludf.DUMMYFUNCTION("""COMPUTED_VALUE"""),"RFI")</f>
        <v>RFI</v>
      </c>
      <c r="G284" s="19" t="str">
        <f>IFERROR(__xludf.DUMMYFUNCTION("""COMPUTED_VALUE"""),"AS60")</f>
        <v>AS60</v>
      </c>
      <c r="H284" s="19" t="str">
        <f>IFERROR(__xludf.DUMMYFUNCTION("""COMPUTED_VALUE"""),"MER")</f>
        <v>MER</v>
      </c>
      <c r="I284" s="19" t="str">
        <f>IFERROR(__xludf.DUMMYFUNCTION("""COMPUTED_VALUE"""),"Entregada")</f>
        <v>Entregada</v>
      </c>
      <c r="J284" s="20">
        <f>IFERROR(__xludf.DUMMYFUNCTION("""COMPUTED_VALUE"""),44697.0)</f>
        <v>44697</v>
      </c>
      <c r="K284" s="19" t="str">
        <f>IFERROR(__xludf.DUMMYFUNCTION("""COMPUTED_VALUE"""),"Entregada")</f>
        <v>Entregada</v>
      </c>
      <c r="L284" s="20">
        <f>IFERROR(__xludf.DUMMYFUNCTION("""COMPUTED_VALUE"""),44708.0)</f>
        <v>44708</v>
      </c>
      <c r="M284" s="19" t="str">
        <f>IFERROR(__xludf.DUMMYFUNCTION("""COMPUTED_VALUE"""),"PCM")</f>
        <v>PCM</v>
      </c>
      <c r="N284" s="19" t="str">
        <f>IFERROR(__xludf.DUMMYFUNCTION("""COMPUTED_VALUE"""),"PRIORIDAD 1 Q3 2023 OCTUBRE")</f>
        <v>PRIORIDAD 1 Q3 2023 OCTUBRE</v>
      </c>
    </row>
    <row r="285" ht="15.75" customHeight="1">
      <c r="A285" s="19" t="str">
        <f>IFERROR(__xludf.DUMMYFUNCTION("""COMPUTED_VALUE"""),"AB_8208")</f>
        <v>AB_8208</v>
      </c>
      <c r="B285" s="19" t="str">
        <f>IFERROR(__xludf.DUMMYFUNCTION("""COMPUTED_VALUE"""),"AB_8208_A")</f>
        <v>AB_8208_A</v>
      </c>
      <c r="C285" s="19" t="str">
        <f>IFERROR(__xludf.DUMMYFUNCTION("""COMPUTED_VALUE"""),"BI8208")</f>
        <v>BI8208</v>
      </c>
      <c r="D285" s="19" t="str">
        <f>IFERROR(__xludf.DUMMYFUNCTION("""COMPUTED_VALUE"""),"Reserva Nonguén Sur")</f>
        <v>Reserva Nonguén Sur</v>
      </c>
      <c r="E285" s="19" t="str">
        <f>IFERROR(__xludf.DUMMYFUNCTION("""COMPUTED_VALUE"""),"SITIO RFI")</f>
        <v>SITIO RFI</v>
      </c>
      <c r="F285" s="19" t="str">
        <f>IFERROR(__xludf.DUMMYFUNCTION("""COMPUTED_VALUE"""),"RFI")</f>
        <v>RFI</v>
      </c>
      <c r="G285" s="19" t="str">
        <f>IFERROR(__xludf.DUMMYFUNCTION("""COMPUTED_VALUE"""),"AS60")</f>
        <v>AS60</v>
      </c>
      <c r="H285" s="19" t="str">
        <f>IFERROR(__xludf.DUMMYFUNCTION("""COMPUTED_VALUE"""),"MER")</f>
        <v>MER</v>
      </c>
      <c r="I285" s="19" t="str">
        <f>IFERROR(__xludf.DUMMYFUNCTION("""COMPUTED_VALUE"""),"Entregada")</f>
        <v>Entregada</v>
      </c>
      <c r="J285" s="20">
        <f>IFERROR(__xludf.DUMMYFUNCTION("""COMPUTED_VALUE"""),44697.0)</f>
        <v>44697</v>
      </c>
      <c r="K285" s="19" t="str">
        <f>IFERROR(__xludf.DUMMYFUNCTION("""COMPUTED_VALUE"""),"Entregada")</f>
        <v>Entregada</v>
      </c>
      <c r="L285" s="20">
        <f>IFERROR(__xludf.DUMMYFUNCTION("""COMPUTED_VALUE"""),44715.0)</f>
        <v>44715</v>
      </c>
      <c r="M285" s="19" t="str">
        <f>IFERROR(__xludf.DUMMYFUNCTION("""COMPUTED_VALUE"""),"PCM")</f>
        <v>PCM</v>
      </c>
      <c r="N285" s="19" t="str">
        <f>IFERROR(__xludf.DUMMYFUNCTION("""COMPUTED_VALUE"""),"PRIORIDAD 1 Q3 2023 OCTUBRE")</f>
        <v>PRIORIDAD 1 Q3 2023 OCTUBRE</v>
      </c>
    </row>
    <row r="286" ht="15.75" customHeight="1">
      <c r="A286" s="19" t="str">
        <f>IFERROR(__xludf.DUMMYFUNCTION("""COMPUTED_VALUE"""),"AB_8210")</f>
        <v>AB_8210</v>
      </c>
      <c r="B286" s="19" t="str">
        <f>IFERROR(__xludf.DUMMYFUNCTION("""COMPUTED_VALUE"""),"AB_8210_D")</f>
        <v>AB_8210_D</v>
      </c>
      <c r="C286" s="19" t="str">
        <f>IFERROR(__xludf.DUMMYFUNCTION("""COMPUTED_VALUE"""),"BI8210")</f>
        <v>BI8210</v>
      </c>
      <c r="D286" s="19" t="str">
        <f>IFERROR(__xludf.DUMMYFUNCTION("""COMPUTED_VALUE"""),"Camino a Chome")</f>
        <v>Camino a Chome</v>
      </c>
      <c r="E286" s="19" t="str">
        <f>IFERROR(__xludf.DUMMYFUNCTION("""COMPUTED_VALUE"""),"DETENIDO EN PROCESO LDA")</f>
        <v>DETENIDO EN PROCESO LDA</v>
      </c>
      <c r="F286" s="19"/>
      <c r="G286" s="19" t="str">
        <f>IFERROR(__xludf.DUMMYFUNCTION("""COMPUTED_VALUE"""),"MP R40")</f>
        <v>MP R40</v>
      </c>
      <c r="H286" s="19" t="str">
        <f>IFERROR(__xludf.DUMMYFUNCTION("""COMPUTED_VALUE"""),"")</f>
        <v/>
      </c>
      <c r="I286" s="19" t="str">
        <f>IFERROR(__xludf.DUMMYFUNCTION("""COMPUTED_VALUE"""),"")</f>
        <v/>
      </c>
      <c r="J286" s="20" t="str">
        <f>IFERROR(__xludf.DUMMYFUNCTION("""COMPUTED_VALUE"""),"")</f>
        <v/>
      </c>
      <c r="K286" s="19" t="str">
        <f>IFERROR(__xludf.DUMMYFUNCTION("""COMPUTED_VALUE"""),"")</f>
        <v/>
      </c>
      <c r="L286" s="20" t="str">
        <f>IFERROR(__xludf.DUMMYFUNCTION("""COMPUTED_VALUE"""),"")</f>
        <v/>
      </c>
      <c r="M286" s="19" t="str">
        <f>IFERROR(__xludf.DUMMYFUNCTION("""COMPUTED_VALUE"""),"PCM")</f>
        <v>PCM</v>
      </c>
      <c r="N286" s="19" t="str">
        <f>IFERROR(__xludf.DUMMYFUNCTION("""COMPUTED_VALUE"""),"PRIORIDAD 3 Q1 2024 MARZO")</f>
        <v>PRIORIDAD 3 Q1 2024 MARZO</v>
      </c>
    </row>
    <row r="287" ht="15.75" customHeight="1">
      <c r="A287" s="19" t="str">
        <f>IFERROR(__xludf.DUMMYFUNCTION("""COMPUTED_VALUE"""),"AB_8211")</f>
        <v>AB_8211</v>
      </c>
      <c r="B287" s="19" t="str">
        <f>IFERROR(__xludf.DUMMYFUNCTION("""COMPUTED_VALUE"""),"AB_8211_B")</f>
        <v>AB_8211_B</v>
      </c>
      <c r="C287" s="19" t="str">
        <f>IFERROR(__xludf.DUMMYFUNCTION("""COMPUTED_VALUE"""),"BI8211")</f>
        <v>BI8211</v>
      </c>
      <c r="D287" s="19" t="str">
        <f>IFERROR(__xludf.DUMMYFUNCTION("""COMPUTED_VALUE"""),"Boca Norte")</f>
        <v>Boca Norte</v>
      </c>
      <c r="E287" s="19" t="str">
        <f>IFERROR(__xludf.DUMMYFUNCTION("""COMPUTED_VALUE"""),"SITIO PENDIENTE")</f>
        <v>SITIO PENDIENTE</v>
      </c>
      <c r="F287" s="19"/>
      <c r="G287" s="19" t="str">
        <f>IFERROR(__xludf.DUMMYFUNCTION("""COMPUTED_VALUE"""),"CV48")</f>
        <v>CV48</v>
      </c>
      <c r="H287" s="19" t="str">
        <f>IFERROR(__xludf.DUMMYFUNCTION("""COMPUTED_VALUE"""),"")</f>
        <v/>
      </c>
      <c r="I287" s="19" t="str">
        <f>IFERROR(__xludf.DUMMYFUNCTION("""COMPUTED_VALUE"""),"")</f>
        <v/>
      </c>
      <c r="J287" s="20" t="str">
        <f>IFERROR(__xludf.DUMMYFUNCTION("""COMPUTED_VALUE"""),"")</f>
        <v/>
      </c>
      <c r="K287" s="19" t="str">
        <f>IFERROR(__xludf.DUMMYFUNCTION("""COMPUTED_VALUE"""),"")</f>
        <v/>
      </c>
      <c r="L287" s="20" t="str">
        <f>IFERROR(__xludf.DUMMYFUNCTION("""COMPUTED_VALUE"""),"")</f>
        <v/>
      </c>
      <c r="M287" s="19" t="str">
        <f>IFERROR(__xludf.DUMMYFUNCTION("""COMPUTED_VALUE"""),"PCM")</f>
        <v>PCM</v>
      </c>
      <c r="N287" s="19" t="str">
        <f>IFERROR(__xludf.DUMMYFUNCTION("""COMPUTED_VALUE"""),"PRIORIDAD 3 Q1 2024 MARZO")</f>
        <v>PRIORIDAD 3 Q1 2024 MARZO</v>
      </c>
    </row>
    <row r="288" ht="15.75" customHeight="1">
      <c r="A288" s="19" t="str">
        <f>IFERROR(__xludf.DUMMYFUNCTION("""COMPUTED_VALUE"""),"AB_8212")</f>
        <v>AB_8212</v>
      </c>
      <c r="B288" s="19" t="str">
        <f>IFERROR(__xludf.DUMMYFUNCTION("""COMPUTED_VALUE"""),"AB_8212_A")</f>
        <v>AB_8212_A</v>
      </c>
      <c r="C288" s="19" t="str">
        <f>IFERROR(__xludf.DUMMYFUNCTION("""COMPUTED_VALUE"""),"BI8212")</f>
        <v>BI8212</v>
      </c>
      <c r="D288" s="19" t="str">
        <f>IFERROR(__xludf.DUMMYFUNCTION("""COMPUTED_VALUE"""),"Estero Colcura Lota")</f>
        <v>Estero Colcura Lota</v>
      </c>
      <c r="E288" s="19" t="str">
        <f>IFERROR(__xludf.DUMMYFUNCTION("""COMPUTED_VALUE"""),"SITIO PENDIENTE")</f>
        <v>SITIO PENDIENTE</v>
      </c>
      <c r="F288" s="19"/>
      <c r="G288" s="19" t="str">
        <f>IFERROR(__xludf.DUMMYFUNCTION("""COMPUTED_VALUE"""),"CV60")</f>
        <v>CV60</v>
      </c>
      <c r="H288" s="19" t="str">
        <f>IFERROR(__xludf.DUMMYFUNCTION("""COMPUTED_VALUE"""),"")</f>
        <v/>
      </c>
      <c r="I288" s="19" t="str">
        <f>IFERROR(__xludf.DUMMYFUNCTION("""COMPUTED_VALUE"""),"")</f>
        <v/>
      </c>
      <c r="J288" s="20" t="str">
        <f>IFERROR(__xludf.DUMMYFUNCTION("""COMPUTED_VALUE"""),"")</f>
        <v/>
      </c>
      <c r="K288" s="19" t="str">
        <f>IFERROR(__xludf.DUMMYFUNCTION("""COMPUTED_VALUE"""),"")</f>
        <v/>
      </c>
      <c r="L288" s="20" t="str">
        <f>IFERROR(__xludf.DUMMYFUNCTION("""COMPUTED_VALUE"""),"")</f>
        <v/>
      </c>
      <c r="M288" s="19" t="str">
        <f>IFERROR(__xludf.DUMMYFUNCTION("""COMPUTED_VALUE"""),"PCM")</f>
        <v>PCM</v>
      </c>
      <c r="N288" s="19" t="str">
        <f>IFERROR(__xludf.DUMMYFUNCTION("""COMPUTED_VALUE"""),"PRIORIDAD 3 Q1 2024 MARZO")</f>
        <v>PRIORIDAD 3 Q1 2024 MARZO</v>
      </c>
    </row>
    <row r="289" ht="15.75" customHeight="1">
      <c r="A289" s="19" t="str">
        <f>IFERROR(__xludf.DUMMYFUNCTION("""COMPUTED_VALUE"""),"AB_8213")</f>
        <v>AB_8213</v>
      </c>
      <c r="B289" s="19" t="str">
        <f>IFERROR(__xludf.DUMMYFUNCTION("""COMPUTED_VALUE"""),"AB_8213_A")</f>
        <v>AB_8213_A</v>
      </c>
      <c r="C289" s="19" t="str">
        <f>IFERROR(__xludf.DUMMYFUNCTION("""COMPUTED_VALUE"""),"BI8213")</f>
        <v>BI8213</v>
      </c>
      <c r="D289" s="19" t="str">
        <f>IFERROR(__xludf.DUMMYFUNCTION("""COMPUTED_VALUE"""),"Ruta O-440")</f>
        <v>Ruta O-440</v>
      </c>
      <c r="E289" s="19" t="str">
        <f>IFERROR(__xludf.DUMMYFUNCTION("""COMPUTED_VALUE"""),"SITIO RFI")</f>
        <v>SITIO RFI</v>
      </c>
      <c r="F289" s="19" t="str">
        <f>IFERROR(__xludf.DUMMYFUNCTION("""COMPUTED_VALUE"""),"RFI")</f>
        <v>RFI</v>
      </c>
      <c r="G289" s="19" t="str">
        <f>IFERROR(__xludf.DUMMYFUNCTION("""COMPUTED_VALUE"""),"AS60")</f>
        <v>AS60</v>
      </c>
      <c r="H289" s="19" t="str">
        <f>IFERROR(__xludf.DUMMYFUNCTION("""COMPUTED_VALUE"""),"DEITEL")</f>
        <v>DEITEL</v>
      </c>
      <c r="I289" s="19" t="str">
        <f>IFERROR(__xludf.DUMMYFUNCTION("""COMPUTED_VALUE"""),"Entregada")</f>
        <v>Entregada</v>
      </c>
      <c r="J289" s="20">
        <f>IFERROR(__xludf.DUMMYFUNCTION("""COMPUTED_VALUE"""),44720.0)</f>
        <v>44720</v>
      </c>
      <c r="K289" s="19" t="str">
        <f>IFERROR(__xludf.DUMMYFUNCTION("""COMPUTED_VALUE"""),"Entregada")</f>
        <v>Entregada</v>
      </c>
      <c r="L289" s="20">
        <f>IFERROR(__xludf.DUMMYFUNCTION("""COMPUTED_VALUE"""),44767.0)</f>
        <v>44767</v>
      </c>
      <c r="M289" s="19" t="str">
        <f>IFERROR(__xludf.DUMMYFUNCTION("""COMPUTED_VALUE"""),"PCM")</f>
        <v>PCM</v>
      </c>
      <c r="N289" s="19" t="str">
        <f>IFERROR(__xludf.DUMMYFUNCTION("""COMPUTED_VALUE"""),"PRIORIDAD 1 Q3 2023 OCTUBRE")</f>
        <v>PRIORIDAD 1 Q3 2023 OCTUBRE</v>
      </c>
    </row>
    <row r="290" ht="15.75" customHeight="1">
      <c r="A290" s="19" t="str">
        <f>IFERROR(__xludf.DUMMYFUNCTION("""COMPUTED_VALUE"""),"AB_9052")</f>
        <v>AB_9052</v>
      </c>
      <c r="B290" s="19" t="str">
        <f>IFERROR(__xludf.DUMMYFUNCTION("""COMPUTED_VALUE"""),"AB_9052_A")</f>
        <v>AB_9052_A</v>
      </c>
      <c r="C290" s="19" t="str">
        <f>IFERROR(__xludf.DUMMYFUNCTION("""COMPUTED_VALUE"""),"BI9052")</f>
        <v>BI9052</v>
      </c>
      <c r="D290" s="19" t="str">
        <f>IFERROR(__xludf.DUMMYFUNCTION("""COMPUTED_VALUE"""),"Colcura Alto")</f>
        <v>Colcura Alto</v>
      </c>
      <c r="E290" s="19" t="str">
        <f>IFERROR(__xludf.DUMMYFUNCTION("""COMPUTED_VALUE"""),"SITIO PENDIENTE")</f>
        <v>SITIO PENDIENTE</v>
      </c>
      <c r="F290" s="19"/>
      <c r="G290" s="19" t="str">
        <f>IFERROR(__xludf.DUMMYFUNCTION("""COMPUTED_VALUE"""),"CV60")</f>
        <v>CV60</v>
      </c>
      <c r="H290" s="19" t="str">
        <f>IFERROR(__xludf.DUMMYFUNCTION("""COMPUTED_VALUE"""),"")</f>
        <v/>
      </c>
      <c r="I290" s="19" t="str">
        <f>IFERROR(__xludf.DUMMYFUNCTION("""COMPUTED_VALUE"""),"")</f>
        <v/>
      </c>
      <c r="J290" s="20" t="str">
        <f>IFERROR(__xludf.DUMMYFUNCTION("""COMPUTED_VALUE"""),"")</f>
        <v/>
      </c>
      <c r="K290" s="19" t="str">
        <f>IFERROR(__xludf.DUMMYFUNCTION("""COMPUTED_VALUE"""),"")</f>
        <v/>
      </c>
      <c r="L290" s="20" t="str">
        <f>IFERROR(__xludf.DUMMYFUNCTION("""COMPUTED_VALUE"""),"")</f>
        <v/>
      </c>
      <c r="M290" s="19" t="str">
        <f>IFERROR(__xludf.DUMMYFUNCTION("""COMPUTED_VALUE"""),"PCM")</f>
        <v>PCM</v>
      </c>
      <c r="N290" s="19" t="str">
        <f>IFERROR(__xludf.DUMMYFUNCTION("""COMPUTED_VALUE"""),"PRIORIDAD 3 Q1 2024 MARZO")</f>
        <v>PRIORIDAD 3 Q1 2024 MARZO</v>
      </c>
    </row>
    <row r="291" ht="15.75" customHeight="1">
      <c r="A291" s="19" t="str">
        <f>IFERROR(__xludf.DUMMYFUNCTION("""COMPUTED_VALUE"""),"AB_9408")</f>
        <v>AB_9408</v>
      </c>
      <c r="B291" s="19" t="str">
        <f>IFERROR(__xludf.DUMMYFUNCTION("""COMPUTED_VALUE"""),"AB_9408_A")</f>
        <v>AB_9408_A</v>
      </c>
      <c r="C291" s="19" t="str">
        <f>IFERROR(__xludf.DUMMYFUNCTION("""COMPUTED_VALUE"""),"BI9408")</f>
        <v>BI9408</v>
      </c>
      <c r="D291" s="19" t="str">
        <f>IFERROR(__xludf.DUMMYFUNCTION("""COMPUTED_VALUE"""),"Chorrillos Laja")</f>
        <v>Chorrillos Laja</v>
      </c>
      <c r="E291" s="19" t="str">
        <f>IFERROR(__xludf.DUMMYFUNCTION("""COMPUTED_VALUE"""),"SITIO RFI")</f>
        <v>SITIO RFI</v>
      </c>
      <c r="F291" s="19" t="str">
        <f>IFERROR(__xludf.DUMMYFUNCTION("""COMPUTED_VALUE"""),"RFI")</f>
        <v>RFI</v>
      </c>
      <c r="G291" s="19" t="str">
        <f>IFERROR(__xludf.DUMMYFUNCTION("""COMPUTED_VALUE"""),"AS60")</f>
        <v>AS60</v>
      </c>
      <c r="H291" s="19" t="str">
        <f>IFERROR(__xludf.DUMMYFUNCTION("""COMPUTED_VALUE"""),"MER")</f>
        <v>MER</v>
      </c>
      <c r="I291" s="19" t="str">
        <f>IFERROR(__xludf.DUMMYFUNCTION("""COMPUTED_VALUE"""),"Entregada")</f>
        <v>Entregada</v>
      </c>
      <c r="J291" s="20">
        <f>IFERROR(__xludf.DUMMYFUNCTION("""COMPUTED_VALUE"""),44697.0)</f>
        <v>44697</v>
      </c>
      <c r="K291" s="19" t="str">
        <f>IFERROR(__xludf.DUMMYFUNCTION("""COMPUTED_VALUE"""),"Entregada")</f>
        <v>Entregada</v>
      </c>
      <c r="L291" s="20">
        <f>IFERROR(__xludf.DUMMYFUNCTION("""COMPUTED_VALUE"""),44715.0)</f>
        <v>44715</v>
      </c>
      <c r="M291" s="19" t="str">
        <f>IFERROR(__xludf.DUMMYFUNCTION("""COMPUTED_VALUE"""),"PCM")</f>
        <v>PCM</v>
      </c>
      <c r="N291" s="19" t="str">
        <f>IFERROR(__xludf.DUMMYFUNCTION("""COMPUTED_VALUE"""),"PRIORIDAD 1 Q3 2023 OCTUBRE")</f>
        <v>PRIORIDAD 1 Q3 2023 OCTUBRE</v>
      </c>
    </row>
    <row r="292" ht="15.75" customHeight="1">
      <c r="A292" s="19" t="str">
        <f>IFERROR(__xludf.DUMMYFUNCTION("""COMPUTED_VALUE"""),"AB_9412")</f>
        <v>AB_9412</v>
      </c>
      <c r="B292" s="19" t="str">
        <f>IFERROR(__xludf.DUMMYFUNCTION("""COMPUTED_VALUE"""),"AB_9412_A")</f>
        <v>AB_9412_A</v>
      </c>
      <c r="C292" s="19" t="str">
        <f>IFERROR(__xludf.DUMMYFUNCTION("""COMPUTED_VALUE"""),"BI9412")</f>
        <v>BI9412</v>
      </c>
      <c r="D292" s="19" t="str">
        <f>IFERROR(__xludf.DUMMYFUNCTION("""COMPUTED_VALUE"""),"Ruta Q-300")</f>
        <v>Ruta Q-300</v>
      </c>
      <c r="E292" s="19" t="str">
        <f>IFERROR(__xludf.DUMMYFUNCTION("""COMPUTED_VALUE"""),"SITIO RFI")</f>
        <v>SITIO RFI</v>
      </c>
      <c r="F292" s="19" t="str">
        <f>IFERROR(__xludf.DUMMYFUNCTION("""COMPUTED_VALUE"""),"RFI")</f>
        <v>RFI</v>
      </c>
      <c r="G292" s="19" t="str">
        <f>IFERROR(__xludf.DUMMYFUNCTION("""COMPUTED_VALUE"""),"AS60")</f>
        <v>AS60</v>
      </c>
      <c r="H292" s="19" t="str">
        <f>IFERROR(__xludf.DUMMYFUNCTION("""COMPUTED_VALUE"""),"MER")</f>
        <v>MER</v>
      </c>
      <c r="I292" s="19" t="str">
        <f>IFERROR(__xludf.DUMMYFUNCTION("""COMPUTED_VALUE"""),"Entregada")</f>
        <v>Entregada</v>
      </c>
      <c r="J292" s="20">
        <f>IFERROR(__xludf.DUMMYFUNCTION("""COMPUTED_VALUE"""),44862.0)</f>
        <v>44862</v>
      </c>
      <c r="K292" s="19" t="str">
        <f>IFERROR(__xludf.DUMMYFUNCTION("""COMPUTED_VALUE"""),"Entregada")</f>
        <v>Entregada</v>
      </c>
      <c r="L292" s="20">
        <f>IFERROR(__xludf.DUMMYFUNCTION("""COMPUTED_VALUE"""),44869.0)</f>
        <v>44869</v>
      </c>
      <c r="M292" s="19" t="str">
        <f>IFERROR(__xludf.DUMMYFUNCTION("""COMPUTED_VALUE"""),"PP")</f>
        <v>PP</v>
      </c>
      <c r="N292" s="19" t="str">
        <f>IFERROR(__xludf.DUMMYFUNCTION("""COMPUTED_VALUE"""),"PRIORIDAD 1 Q3 2023 OCTUBRE")</f>
        <v>PRIORIDAD 1 Q3 2023 OCTUBRE</v>
      </c>
    </row>
    <row r="293" ht="15.75" customHeight="1">
      <c r="A293" s="19" t="str">
        <f>IFERROR(__xludf.DUMMYFUNCTION("""COMPUTED_VALUE"""),"AB_9416")</f>
        <v>AB_9416</v>
      </c>
      <c r="B293" s="19" t="str">
        <f>IFERROR(__xludf.DUMMYFUNCTION("""COMPUTED_VALUE"""),"AB_9416_D")</f>
        <v>AB_9416_D</v>
      </c>
      <c r="C293" s="19" t="str">
        <f>IFERROR(__xludf.DUMMYFUNCTION("""COMPUTED_VALUE"""),"BI9416")</f>
        <v>BI9416</v>
      </c>
      <c r="D293" s="19" t="str">
        <f>IFERROR(__xludf.DUMMYFUNCTION("""COMPUTED_VALUE"""),"Laguna Quidico")</f>
        <v>Laguna Quidico</v>
      </c>
      <c r="E293" s="19" t="str">
        <f>IFERROR(__xludf.DUMMYFUNCTION("""COMPUTED_VALUE"""),"SITIO RFI")</f>
        <v>SITIO RFI</v>
      </c>
      <c r="F293" s="19" t="str">
        <f>IFERROR(__xludf.DUMMYFUNCTION("""COMPUTED_VALUE"""),"RFI")</f>
        <v>RFI</v>
      </c>
      <c r="G293" s="19" t="str">
        <f>IFERROR(__xludf.DUMMYFUNCTION("""COMPUTED_VALUE"""),"CV60")</f>
        <v>CV60</v>
      </c>
      <c r="H293" s="19" t="str">
        <f>IFERROR(__xludf.DUMMYFUNCTION("""COMPUTED_VALUE"""),"DEPROMET")</f>
        <v>DEPROMET</v>
      </c>
      <c r="I293" s="19" t="str">
        <f>IFERROR(__xludf.DUMMYFUNCTION("""COMPUTED_VALUE"""),"Entregada")</f>
        <v>Entregada</v>
      </c>
      <c r="J293" s="20">
        <f>IFERROR(__xludf.DUMMYFUNCTION("""COMPUTED_VALUE"""),45001.0)</f>
        <v>45001</v>
      </c>
      <c r="K293" s="19" t="str">
        <f>IFERROR(__xludf.DUMMYFUNCTION("""COMPUTED_VALUE"""),"Entregada")</f>
        <v>Entregada</v>
      </c>
      <c r="L293" s="20">
        <f>IFERROR(__xludf.DUMMYFUNCTION("""COMPUTED_VALUE"""),45001.0)</f>
        <v>45001</v>
      </c>
      <c r="M293" s="19" t="str">
        <f>IFERROR(__xludf.DUMMYFUNCTION("""COMPUTED_VALUE"""),"PCM")</f>
        <v>PCM</v>
      </c>
      <c r="N293" s="19" t="str">
        <f>IFERROR(__xludf.DUMMYFUNCTION("""COMPUTED_VALUE"""),"PRIORIDAD 1 Q3 2023 OCTUBRE")</f>
        <v>PRIORIDAD 1 Q3 2023 OCTUBRE</v>
      </c>
    </row>
    <row r="294" ht="15.75" customHeight="1">
      <c r="A294" s="19" t="str">
        <f>IFERROR(__xludf.DUMMYFUNCTION("""COMPUTED_VALUE"""),"AB_9417")</f>
        <v>AB_9417</v>
      </c>
      <c r="B294" s="19" t="str">
        <f>IFERROR(__xludf.DUMMYFUNCTION("""COMPUTED_VALUE"""),"AB_9417_B")</f>
        <v>AB_9417_B</v>
      </c>
      <c r="C294" s="19" t="str">
        <f>IFERROR(__xludf.DUMMYFUNCTION("""COMPUTED_VALUE"""),"BI9417")</f>
        <v>BI9417</v>
      </c>
      <c r="D294" s="19" t="str">
        <f>IFERROR(__xludf.DUMMYFUNCTION("""COMPUTED_VALUE"""),"Copiulemu")</f>
        <v>Copiulemu</v>
      </c>
      <c r="E294" s="19" t="str">
        <f>IFERROR(__xludf.DUMMYFUNCTION("""COMPUTED_VALUE"""),"SITIO ASIGNADO")</f>
        <v>SITIO ASIGNADO</v>
      </c>
      <c r="F294" s="19"/>
      <c r="G294" s="19" t="str">
        <f>IFERROR(__xludf.DUMMYFUNCTION("""COMPUTED_VALUE"""),"AS60")</f>
        <v>AS60</v>
      </c>
      <c r="H294" s="19" t="str">
        <f>IFERROR(__xludf.DUMMYFUNCTION("""COMPUTED_VALUE"""),"JTI")</f>
        <v>JTI</v>
      </c>
      <c r="I294" s="19" t="str">
        <f>IFERROR(__xludf.DUMMYFUNCTION("""COMPUTED_VALUE"""),"Asignada")</f>
        <v>Asignada</v>
      </c>
      <c r="J294" s="20">
        <f>IFERROR(__xludf.DUMMYFUNCTION("""COMPUTED_VALUE"""),45163.0)</f>
        <v>45163</v>
      </c>
      <c r="K294" s="19" t="str">
        <f>IFERROR(__xludf.DUMMYFUNCTION("""COMPUTED_VALUE"""),"Asignada")</f>
        <v>Asignada</v>
      </c>
      <c r="L294" s="20">
        <f>IFERROR(__xludf.DUMMYFUNCTION("""COMPUTED_VALUE"""),45170.0)</f>
        <v>45170</v>
      </c>
      <c r="M294" s="19" t="str">
        <f>IFERROR(__xludf.DUMMYFUNCTION("""COMPUTED_VALUE"""),"PP")</f>
        <v>PP</v>
      </c>
      <c r="N294" s="19" t="str">
        <f>IFERROR(__xludf.DUMMYFUNCTION("""COMPUTED_VALUE"""),"PRIORIDAD 1 Q3 2023 OCTUBRE")</f>
        <v>PRIORIDAD 1 Q3 2023 OCTUBRE</v>
      </c>
    </row>
    <row r="295" ht="15.75" customHeight="1">
      <c r="A295" s="19" t="str">
        <f>IFERROR(__xludf.DUMMYFUNCTION("""COMPUTED_VALUE"""),"AB_9592")</f>
        <v>AB_9592</v>
      </c>
      <c r="B295" s="19" t="str">
        <f>IFERROR(__xludf.DUMMYFUNCTION("""COMPUTED_VALUE"""),"AB_9592_A")</f>
        <v>AB_9592_A</v>
      </c>
      <c r="C295" s="19" t="str">
        <f>IFERROR(__xludf.DUMMYFUNCTION("""COMPUTED_VALUE"""),"BI9592")</f>
        <v>BI9592</v>
      </c>
      <c r="D295" s="19" t="str">
        <f>IFERROR(__xludf.DUMMYFUNCTION("""COMPUTED_VALUE"""),"Bajos de Peñaflor San Rosendo")</f>
        <v>Bajos de Peñaflor San Rosendo</v>
      </c>
      <c r="E295" s="19" t="str">
        <f>IFERROR(__xludf.DUMMYFUNCTION("""COMPUTED_VALUE"""),"SITIO RFI")</f>
        <v>SITIO RFI</v>
      </c>
      <c r="F295" s="19" t="str">
        <f>IFERROR(__xludf.DUMMYFUNCTION("""COMPUTED_VALUE"""),"RFI")</f>
        <v>RFI</v>
      </c>
      <c r="G295" s="19" t="str">
        <f>IFERROR(__xludf.DUMMYFUNCTION("""COMPUTED_VALUE"""),"AS54")</f>
        <v>AS54</v>
      </c>
      <c r="H295" s="19" t="str">
        <f>IFERROR(__xludf.DUMMYFUNCTION("""COMPUTED_VALUE"""),"AJ")</f>
        <v>AJ</v>
      </c>
      <c r="I295" s="19" t="str">
        <f>IFERROR(__xludf.DUMMYFUNCTION("""COMPUTED_VALUE"""),"Entregada")</f>
        <v>Entregada</v>
      </c>
      <c r="J295" s="20">
        <f>IFERROR(__xludf.DUMMYFUNCTION("""COMPUTED_VALUE"""),44636.0)</f>
        <v>44636</v>
      </c>
      <c r="K295" s="19" t="str">
        <f>IFERROR(__xludf.DUMMYFUNCTION("""COMPUTED_VALUE"""),"Entregada")</f>
        <v>Entregada</v>
      </c>
      <c r="L295" s="20">
        <f>IFERROR(__xludf.DUMMYFUNCTION("""COMPUTED_VALUE"""),44805.0)</f>
        <v>44805</v>
      </c>
      <c r="M295" s="19" t="str">
        <f>IFERROR(__xludf.DUMMYFUNCTION("""COMPUTED_VALUE"""),"PCM")</f>
        <v>PCM</v>
      </c>
      <c r="N295" s="19" t="str">
        <f>IFERROR(__xludf.DUMMYFUNCTION("""COMPUTED_VALUE"""),"PRIORIDAD 1 Q3 2023 OCTUBRE")</f>
        <v>PRIORIDAD 1 Q3 2023 OCTUBRE</v>
      </c>
    </row>
    <row r="296" ht="15.75" customHeight="1">
      <c r="A296" s="19" t="str">
        <f>IFERROR(__xludf.DUMMYFUNCTION("""COMPUTED_VALUE"""),"AB_9593")</f>
        <v>AB_9593</v>
      </c>
      <c r="B296" s="19" t="str">
        <f>IFERROR(__xludf.DUMMYFUNCTION("""COMPUTED_VALUE"""),"AB_9593_C")</f>
        <v>AB_9593_C</v>
      </c>
      <c r="C296" s="19" t="str">
        <f>IFERROR(__xludf.DUMMYFUNCTION("""COMPUTED_VALUE"""),"BI9593")</f>
        <v>BI9593</v>
      </c>
      <c r="D296" s="19" t="str">
        <f>IFERROR(__xludf.DUMMYFUNCTION("""COMPUTED_VALUE"""),"Embalse Ralco")</f>
        <v>Embalse Ralco</v>
      </c>
      <c r="E296" s="19" t="str">
        <f>IFERROR(__xludf.DUMMYFUNCTION("""COMPUTED_VALUE"""),"DETENIDO COMUNIDAD")</f>
        <v>DETENIDO COMUNIDAD</v>
      </c>
      <c r="F296" s="19" t="str">
        <f>IFERROR(__xludf.DUMMYFUNCTION("""COMPUTED_VALUE"""),"VISITA")</f>
        <v>VISITA</v>
      </c>
      <c r="G296" s="19" t="str">
        <f>IFERROR(__xludf.DUMMYFUNCTION("""COMPUTED_VALUE"""),"AS60")</f>
        <v>AS60</v>
      </c>
      <c r="H296" s="19" t="str">
        <f>IFERROR(__xludf.DUMMYFUNCTION("""COMPUTED_VALUE"""),"MER")</f>
        <v>MER</v>
      </c>
      <c r="I296" s="19" t="str">
        <f>IFERROR(__xludf.DUMMYFUNCTION("""COMPUTED_VALUE"""),"Terminada")</f>
        <v>Terminada</v>
      </c>
      <c r="J296" s="20">
        <f>IFERROR(__xludf.DUMMYFUNCTION("""COMPUTED_VALUE"""),44722.0)</f>
        <v>44722</v>
      </c>
      <c r="K296" s="19" t="str">
        <f>IFERROR(__xludf.DUMMYFUNCTION("""COMPUTED_VALUE"""),"Por pintar ")</f>
        <v>Por pintar </v>
      </c>
      <c r="L296" s="20">
        <f>IFERROR(__xludf.DUMMYFUNCTION("""COMPUTED_VALUE"""),44736.0)</f>
        <v>44736</v>
      </c>
      <c r="M296" s="19" t="str">
        <f>IFERROR(__xludf.DUMMYFUNCTION("""COMPUTED_VALUE"""),"PCM")</f>
        <v>PCM</v>
      </c>
      <c r="N296" s="19" t="str">
        <f>IFERROR(__xludf.DUMMYFUNCTION("""COMPUTED_VALUE"""),"PRIORIDAD 1 Q3 2023 OCTUBRE")</f>
        <v>PRIORIDAD 1 Q3 2023 OCTUBRE</v>
      </c>
    </row>
    <row r="297" ht="15.75" customHeight="1">
      <c r="A297" s="19" t="str">
        <f>IFERROR(__xludf.DUMMYFUNCTION("""COMPUTED_VALUE"""),"AB_9595")</f>
        <v>AB_9595</v>
      </c>
      <c r="B297" s="19" t="str">
        <f>IFERROR(__xludf.DUMMYFUNCTION("""COMPUTED_VALUE"""),"AB_9595_A")</f>
        <v>AB_9595_A</v>
      </c>
      <c r="C297" s="19" t="str">
        <f>IFERROR(__xludf.DUMMYFUNCTION("""COMPUTED_VALUE"""),"BI9595")</f>
        <v>BI9595</v>
      </c>
      <c r="D297" s="19" t="str">
        <f>IFERROR(__xludf.DUMMYFUNCTION("""COMPUTED_VALUE"""),"Ruta 160 Peaje Colico")</f>
        <v>Ruta 160 Peaje Colico</v>
      </c>
      <c r="E297" s="19" t="str">
        <f>IFERROR(__xludf.DUMMYFUNCTION("""COMPUTED_VALUE"""),"SITIO PENDIENTE")</f>
        <v>SITIO PENDIENTE</v>
      </c>
      <c r="F297" s="19"/>
      <c r="G297" s="19" t="str">
        <f>IFERROR(__xludf.DUMMYFUNCTION("""COMPUTED_VALUE"""),"CV48")</f>
        <v>CV48</v>
      </c>
      <c r="H297" s="19" t="str">
        <f>IFERROR(__xludf.DUMMYFUNCTION("""COMPUTED_VALUE"""),"")</f>
        <v/>
      </c>
      <c r="I297" s="19" t="str">
        <f>IFERROR(__xludf.DUMMYFUNCTION("""COMPUTED_VALUE"""),"")</f>
        <v/>
      </c>
      <c r="J297" s="20" t="str">
        <f>IFERROR(__xludf.DUMMYFUNCTION("""COMPUTED_VALUE"""),"")</f>
        <v/>
      </c>
      <c r="K297" s="19" t="str">
        <f>IFERROR(__xludf.DUMMYFUNCTION("""COMPUTED_VALUE"""),"")</f>
        <v/>
      </c>
      <c r="L297" s="20" t="str">
        <f>IFERROR(__xludf.DUMMYFUNCTION("""COMPUTED_VALUE"""),"")</f>
        <v/>
      </c>
      <c r="M297" s="19" t="str">
        <f>IFERROR(__xludf.DUMMYFUNCTION("""COMPUTED_VALUE"""),"PP")</f>
        <v>PP</v>
      </c>
      <c r="N297" s="19" t="str">
        <f>IFERROR(__xludf.DUMMYFUNCTION("""COMPUTED_VALUE"""),"PRIORIDAD 3 Q1 2024 MARZO")</f>
        <v>PRIORIDAD 3 Q1 2024 MARZO</v>
      </c>
    </row>
    <row r="298" ht="15.75" customHeight="1">
      <c r="A298" s="19" t="str">
        <f>IFERROR(__xludf.DUMMYFUNCTION("""COMPUTED_VALUE"""),"AB_9596")</f>
        <v>AB_9596</v>
      </c>
      <c r="B298" s="19" t="str">
        <f>IFERROR(__xludf.DUMMYFUNCTION("""COMPUTED_VALUE"""),"AB_9596_A")</f>
        <v>AB_9596_A</v>
      </c>
      <c r="C298" s="19" t="str">
        <f>IFERROR(__xludf.DUMMYFUNCTION("""COMPUTED_VALUE"""),"BI9596")</f>
        <v>BI9596</v>
      </c>
      <c r="D298" s="19" t="str">
        <f>IFERROR(__xludf.DUMMYFUNCTION("""COMPUTED_VALUE"""),"Ruta 156 Rio Taboleo")</f>
        <v>Ruta 156 Rio Taboleo</v>
      </c>
      <c r="E298" s="19" t="str">
        <f>IFERROR(__xludf.DUMMYFUNCTION("""COMPUTED_VALUE"""),"SITIO EN CONSTRUCCION")</f>
        <v>SITIO EN CONSTRUCCION</v>
      </c>
      <c r="F298" s="19" t="str">
        <f>IFERROR(__xludf.DUMMYFUNCTION("""COMPUTED_VALUE"""),"ENFIERRADURA")</f>
        <v>ENFIERRADURA</v>
      </c>
      <c r="G298" s="19" t="str">
        <f>IFERROR(__xludf.DUMMYFUNCTION("""COMPUTED_VALUE"""),"AS48")</f>
        <v>AS48</v>
      </c>
      <c r="H298" s="19" t="str">
        <f>IFERROR(__xludf.DUMMYFUNCTION("""COMPUTED_VALUE"""),"AJ")</f>
        <v>AJ</v>
      </c>
      <c r="I298" s="19" t="str">
        <f>IFERROR(__xludf.DUMMYFUNCTION("""COMPUTED_VALUE"""),"Entregada")</f>
        <v>Entregada</v>
      </c>
      <c r="J298" s="20">
        <f>IFERROR(__xludf.DUMMYFUNCTION("""COMPUTED_VALUE"""),44663.0)</f>
        <v>44663</v>
      </c>
      <c r="K298" s="19" t="str">
        <f>IFERROR(__xludf.DUMMYFUNCTION("""COMPUTED_VALUE"""),"Entregada")</f>
        <v>Entregada</v>
      </c>
      <c r="L298" s="20">
        <f>IFERROR(__xludf.DUMMYFUNCTION("""COMPUTED_VALUE"""),44659.0)</f>
        <v>44659</v>
      </c>
      <c r="M298" s="19" t="str">
        <f>IFERROR(__xludf.DUMMYFUNCTION("""COMPUTED_VALUE"""),"PP")</f>
        <v>PP</v>
      </c>
      <c r="N298" s="19" t="str">
        <f>IFERROR(__xludf.DUMMYFUNCTION("""COMPUTED_VALUE"""),"PRIORIDAD 1 Q3 2023 OCTUBRE")</f>
        <v>PRIORIDAD 1 Q3 2023 OCTUBRE</v>
      </c>
    </row>
    <row r="299" ht="15.75" customHeight="1">
      <c r="A299" s="19" t="str">
        <f>IFERROR(__xludf.DUMMYFUNCTION("""COMPUTED_VALUE"""),"AB_9635")</f>
        <v>AB_9635</v>
      </c>
      <c r="B299" s="19" t="str">
        <f>IFERROR(__xludf.DUMMYFUNCTION("""COMPUTED_VALUE"""),"AB_9635_B")</f>
        <v>AB_9635_B</v>
      </c>
      <c r="C299" s="19" t="str">
        <f>IFERROR(__xludf.DUMMYFUNCTION("""COMPUTED_VALUE"""),"BI9635")</f>
        <v>BI9635</v>
      </c>
      <c r="D299" s="19" t="str">
        <f>IFERROR(__xludf.DUMMYFUNCTION("""COMPUTED_VALUE"""),"Ruta 152 El Milagro")</f>
        <v>Ruta 152 El Milagro</v>
      </c>
      <c r="E299" s="19" t="str">
        <f>IFERROR(__xludf.DUMMYFUNCTION("""COMPUTED_VALUE"""),"SITIO RFI")</f>
        <v>SITIO RFI</v>
      </c>
      <c r="F299" s="19" t="str">
        <f>IFERROR(__xludf.DUMMYFUNCTION("""COMPUTED_VALUE"""),"RFI")</f>
        <v>RFI</v>
      </c>
      <c r="G299" s="19" t="str">
        <f>IFERROR(__xludf.DUMMYFUNCTION("""COMPUTED_VALUE"""),"AS60")</f>
        <v>AS60</v>
      </c>
      <c r="H299" s="19" t="str">
        <f>IFERROR(__xludf.DUMMYFUNCTION("""COMPUTED_VALUE"""),"MER")</f>
        <v>MER</v>
      </c>
      <c r="I299" s="19" t="str">
        <f>IFERROR(__xludf.DUMMYFUNCTION("""COMPUTED_VALUE"""),"Entregada")</f>
        <v>Entregada</v>
      </c>
      <c r="J299" s="20">
        <f>IFERROR(__xludf.DUMMYFUNCTION("""COMPUTED_VALUE"""),44881.0)</f>
        <v>44881</v>
      </c>
      <c r="K299" s="19" t="str">
        <f>IFERROR(__xludf.DUMMYFUNCTION("""COMPUTED_VALUE"""),"Entregada")</f>
        <v>Entregada</v>
      </c>
      <c r="L299" s="20">
        <f>IFERROR(__xludf.DUMMYFUNCTION("""COMPUTED_VALUE"""),44897.0)</f>
        <v>44897</v>
      </c>
      <c r="M299" s="19" t="str">
        <f>IFERROR(__xludf.DUMMYFUNCTION("""COMPUTED_VALUE"""),"PP")</f>
        <v>PP</v>
      </c>
      <c r="N299" s="19" t="str">
        <f>IFERROR(__xludf.DUMMYFUNCTION("""COMPUTED_VALUE"""),"PRIORIDAD 1 Q3 2023 OCTUBRE")</f>
        <v>PRIORIDAD 1 Q3 2023 OCTUBRE</v>
      </c>
    </row>
    <row r="300" ht="15.75" customHeight="1">
      <c r="A300" s="19" t="str">
        <f>IFERROR(__xludf.DUMMYFUNCTION("""COMPUTED_VALUE"""),"AB_9648")</f>
        <v>AB_9648</v>
      </c>
      <c r="B300" s="19" t="str">
        <f>IFERROR(__xludf.DUMMYFUNCTION("""COMPUTED_VALUE"""),"AB_9648_B")</f>
        <v>AB_9648_B</v>
      </c>
      <c r="C300" s="19" t="str">
        <f>IFERROR(__xludf.DUMMYFUNCTION("""COMPUTED_VALUE"""),"BI9648")</f>
        <v>BI9648</v>
      </c>
      <c r="D300" s="19" t="str">
        <f>IFERROR(__xludf.DUMMYFUNCTION("""COMPUTED_VALUE"""),"Ruta 146 Cruce O-674")</f>
        <v>Ruta 146 Cruce O-674</v>
      </c>
      <c r="E300" s="19" t="str">
        <f>IFERROR(__xludf.DUMMYFUNCTION("""COMPUTED_VALUE"""),"SITIO RFI")</f>
        <v>SITIO RFI</v>
      </c>
      <c r="F300" s="19" t="str">
        <f>IFERROR(__xludf.DUMMYFUNCTION("""COMPUTED_VALUE"""),"RFI")</f>
        <v>RFI</v>
      </c>
      <c r="G300" s="19" t="str">
        <f>IFERROR(__xludf.DUMMYFUNCTION("""COMPUTED_VALUE"""),"CV48")</f>
        <v>CV48</v>
      </c>
      <c r="H300" s="19" t="str">
        <f>IFERROR(__xludf.DUMMYFUNCTION("""COMPUTED_VALUE"""),"DEITEL")</f>
        <v>DEITEL</v>
      </c>
      <c r="I300" s="19" t="str">
        <f>IFERROR(__xludf.DUMMYFUNCTION("""COMPUTED_VALUE"""),"Entregada")</f>
        <v>Entregada</v>
      </c>
      <c r="J300" s="20">
        <f>IFERROR(__xludf.DUMMYFUNCTION("""COMPUTED_VALUE"""),44883.0)</f>
        <v>44883</v>
      </c>
      <c r="K300" s="19" t="str">
        <f>IFERROR(__xludf.DUMMYFUNCTION("""COMPUTED_VALUE"""),"Entregada")</f>
        <v>Entregada</v>
      </c>
      <c r="L300" s="20">
        <f>IFERROR(__xludf.DUMMYFUNCTION("""COMPUTED_VALUE"""),44897.0)</f>
        <v>44897</v>
      </c>
      <c r="M300" s="19" t="str">
        <f>IFERROR(__xludf.DUMMYFUNCTION("""COMPUTED_VALUE"""),"PCM_2")</f>
        <v>PCM_2</v>
      </c>
      <c r="N300" s="19" t="str">
        <f>IFERROR(__xludf.DUMMYFUNCTION("""COMPUTED_VALUE"""),"PRIORIDAD 1 Q3 2023 OCTUBRE")</f>
        <v>PRIORIDAD 1 Q3 2023 OCTUBRE</v>
      </c>
    </row>
    <row r="301" ht="15.75" customHeight="1">
      <c r="A301" s="19" t="str">
        <f>IFERROR(__xludf.DUMMYFUNCTION("""COMPUTED_VALUE"""),"AB_9649")</f>
        <v>AB_9649</v>
      </c>
      <c r="B301" s="19" t="str">
        <f>IFERROR(__xludf.DUMMYFUNCTION("""COMPUTED_VALUE"""),"AB_9649_B")</f>
        <v>AB_9649_B</v>
      </c>
      <c r="C301" s="19" t="str">
        <f>IFERROR(__xludf.DUMMYFUNCTION("""COMPUTED_VALUE"""),"BI9649")</f>
        <v>BI9649</v>
      </c>
      <c r="D301" s="19" t="str">
        <f>IFERROR(__xludf.DUMMYFUNCTION("""COMPUTED_VALUE"""),"Ruta 156 Estero Curali")</f>
        <v>Ruta 156 Estero Curali</v>
      </c>
      <c r="E301" s="19" t="str">
        <f>IFERROR(__xludf.DUMMYFUNCTION("""COMPUTED_VALUE"""),"SITIO RFI")</f>
        <v>SITIO RFI</v>
      </c>
      <c r="F301" s="19" t="str">
        <f>IFERROR(__xludf.DUMMYFUNCTION("""COMPUTED_VALUE"""),"RFI")</f>
        <v>RFI</v>
      </c>
      <c r="G301" s="19" t="str">
        <f>IFERROR(__xludf.DUMMYFUNCTION("""COMPUTED_VALUE"""),"AS42")</f>
        <v>AS42</v>
      </c>
      <c r="H301" s="19" t="str">
        <f>IFERROR(__xludf.DUMMYFUNCTION("""COMPUTED_VALUE"""),"JTI")</f>
        <v>JTI</v>
      </c>
      <c r="I301" s="19" t="str">
        <f>IFERROR(__xludf.DUMMYFUNCTION("""COMPUTED_VALUE"""),"Entregada")</f>
        <v>Entregada</v>
      </c>
      <c r="J301" s="20">
        <f>IFERROR(__xludf.DUMMYFUNCTION("""COMPUTED_VALUE"""),44643.0)</f>
        <v>44643</v>
      </c>
      <c r="K301" s="19" t="str">
        <f>IFERROR(__xludf.DUMMYFUNCTION("""COMPUTED_VALUE"""),"Entregada")</f>
        <v>Entregada</v>
      </c>
      <c r="L301" s="20">
        <f>IFERROR(__xludf.DUMMYFUNCTION("""COMPUTED_VALUE"""),44650.0)</f>
        <v>44650</v>
      </c>
      <c r="M301" s="19" t="str">
        <f>IFERROR(__xludf.DUMMYFUNCTION("""COMPUTED_VALUE"""),"PP")</f>
        <v>PP</v>
      </c>
      <c r="N301" s="19" t="str">
        <f>IFERROR(__xludf.DUMMYFUNCTION("""COMPUTED_VALUE"""),"PRIORIDAD 1 Q3 2023 OCTUBRE")</f>
        <v>PRIORIDAD 1 Q3 2023 OCTUBRE</v>
      </c>
    </row>
    <row r="302" ht="15.75" customHeight="1">
      <c r="A302" s="19" t="str">
        <f>IFERROR(__xludf.DUMMYFUNCTION("""COMPUTED_VALUE"""),"AB_9650")</f>
        <v>AB_9650</v>
      </c>
      <c r="B302" s="19" t="str">
        <f>IFERROR(__xludf.DUMMYFUNCTION("""COMPUTED_VALUE"""),"AB_9650_E")</f>
        <v>AB_9650_E</v>
      </c>
      <c r="C302" s="19" t="str">
        <f>IFERROR(__xludf.DUMMYFUNCTION("""COMPUTED_VALUE"""),"BI9650")</f>
        <v>BI9650</v>
      </c>
      <c r="D302" s="19" t="str">
        <f>IFERROR(__xludf.DUMMYFUNCTION("""COMPUTED_VALUE"""),"Los Cipreses Arauco")</f>
        <v>Los Cipreses Arauco</v>
      </c>
      <c r="E302" s="19" t="str">
        <f>IFERROR(__xludf.DUMMYFUNCTION("""COMPUTED_VALUE"""),"SITIO RFI")</f>
        <v>SITIO RFI</v>
      </c>
      <c r="F302" s="19" t="str">
        <f>IFERROR(__xludf.DUMMYFUNCTION("""COMPUTED_VALUE"""),"RFI")</f>
        <v>RFI</v>
      </c>
      <c r="G302" s="19" t="str">
        <f>IFERROR(__xludf.DUMMYFUNCTION("""COMPUTED_VALUE"""),"AS60")</f>
        <v>AS60</v>
      </c>
      <c r="H302" s="19" t="str">
        <f>IFERROR(__xludf.DUMMYFUNCTION("""COMPUTED_VALUE"""),"MER")</f>
        <v>MER</v>
      </c>
      <c r="I302" s="19" t="str">
        <f>IFERROR(__xludf.DUMMYFUNCTION("""COMPUTED_VALUE"""),"Entregada")</f>
        <v>Entregada</v>
      </c>
      <c r="J302" s="20">
        <f>IFERROR(__xludf.DUMMYFUNCTION("""COMPUTED_VALUE"""),44881.0)</f>
        <v>44881</v>
      </c>
      <c r="K302" s="19" t="str">
        <f>IFERROR(__xludf.DUMMYFUNCTION("""COMPUTED_VALUE"""),"Entregada")</f>
        <v>Entregada</v>
      </c>
      <c r="L302" s="20">
        <f>IFERROR(__xludf.DUMMYFUNCTION("""COMPUTED_VALUE"""),44890.0)</f>
        <v>44890</v>
      </c>
      <c r="M302" s="19" t="str">
        <f>IFERROR(__xludf.DUMMYFUNCTION("""COMPUTED_VALUE"""),"PP")</f>
        <v>PP</v>
      </c>
      <c r="N302" s="19" t="str">
        <f>IFERROR(__xludf.DUMMYFUNCTION("""COMPUTED_VALUE"""),"PRIORIDAD 1 Q3 2023 OCTUBRE")</f>
        <v>PRIORIDAD 1 Q3 2023 OCTUBRE</v>
      </c>
    </row>
    <row r="303" ht="15.75" customHeight="1">
      <c r="A303" s="19" t="str">
        <f>IFERROR(__xludf.DUMMYFUNCTION("""COMPUTED_VALUE"""),"AB_9651")</f>
        <v>AB_9651</v>
      </c>
      <c r="B303" s="19" t="str">
        <f>IFERROR(__xludf.DUMMYFUNCTION("""COMPUTED_VALUE"""),"AB_9651_C")</f>
        <v>AB_9651_C</v>
      </c>
      <c r="C303" s="19" t="str">
        <f>IFERROR(__xludf.DUMMYFUNCTION("""COMPUTED_VALUE"""),"BI9651")</f>
        <v>BI9651</v>
      </c>
      <c r="D303" s="19" t="str">
        <f>IFERROR(__xludf.DUMMYFUNCTION("""COMPUTED_VALUE"""),"Ruta 160 Foraction")</f>
        <v>Ruta 160 Foraction</v>
      </c>
      <c r="E303" s="19" t="str">
        <f>IFERROR(__xludf.DUMMYFUNCTION("""COMPUTED_VALUE"""),"SITIO RFI")</f>
        <v>SITIO RFI</v>
      </c>
      <c r="F303" s="19" t="str">
        <f>IFERROR(__xludf.DUMMYFUNCTION("""COMPUTED_VALUE"""),"HORMIGONADO")</f>
        <v>HORMIGONADO</v>
      </c>
      <c r="G303" s="19" t="str">
        <f>IFERROR(__xludf.DUMMYFUNCTION("""COMPUTED_VALUE"""),"CV60")</f>
        <v>CV60</v>
      </c>
      <c r="H303" s="19" t="str">
        <f>IFERROR(__xludf.DUMMYFUNCTION("""COMPUTED_VALUE"""),"DEPROMET")</f>
        <v>DEPROMET</v>
      </c>
      <c r="I303" s="19" t="str">
        <f>IFERROR(__xludf.DUMMYFUNCTION("""COMPUTED_VALUE"""),"Entregada")</f>
        <v>Entregada</v>
      </c>
      <c r="J303" s="20">
        <f>IFERROR(__xludf.DUMMYFUNCTION("""COMPUTED_VALUE"""),45001.0)</f>
        <v>45001</v>
      </c>
      <c r="K303" s="19" t="str">
        <f>IFERROR(__xludf.DUMMYFUNCTION("""COMPUTED_VALUE"""),"Entregada")</f>
        <v>Entregada</v>
      </c>
      <c r="L303" s="20">
        <f>IFERROR(__xludf.DUMMYFUNCTION("""COMPUTED_VALUE"""),45014.0)</f>
        <v>45014</v>
      </c>
      <c r="M303" s="19" t="str">
        <f>IFERROR(__xludf.DUMMYFUNCTION("""COMPUTED_VALUE"""),"PP")</f>
        <v>PP</v>
      </c>
      <c r="N303" s="19" t="str">
        <f>IFERROR(__xludf.DUMMYFUNCTION("""COMPUTED_VALUE"""),"PRIORIDAD 1 Q3 2023 OCTUBRE")</f>
        <v>PRIORIDAD 1 Q3 2023 OCTUBRE</v>
      </c>
    </row>
    <row r="304" ht="15.75" customHeight="1">
      <c r="A304" s="19" t="str">
        <f>IFERROR(__xludf.DUMMYFUNCTION("""COMPUTED_VALUE"""),"AB_9654")</f>
        <v>AB_9654</v>
      </c>
      <c r="B304" s="19" t="str">
        <f>IFERROR(__xludf.DUMMYFUNCTION("""COMPUTED_VALUE"""),"AB_9654_B")</f>
        <v>AB_9654_B</v>
      </c>
      <c r="C304" s="19" t="str">
        <f>IFERROR(__xludf.DUMMYFUNCTION("""COMPUTED_VALUE"""),"BI9654")</f>
        <v>BI9654</v>
      </c>
      <c r="D304" s="19" t="str">
        <f>IFERROR(__xludf.DUMMYFUNCTION("""COMPUTED_VALUE"""),"Ruta O-882")</f>
        <v>Ruta O-882</v>
      </c>
      <c r="E304" s="19" t="str">
        <f>IFERROR(__xludf.DUMMYFUNCTION("""COMPUTED_VALUE"""),"SITIO RFI")</f>
        <v>SITIO RFI</v>
      </c>
      <c r="F304" s="19" t="str">
        <f>IFERROR(__xludf.DUMMYFUNCTION("""COMPUTED_VALUE"""),"RFI")</f>
        <v>RFI</v>
      </c>
      <c r="G304" s="19" t="str">
        <f>IFERROR(__xludf.DUMMYFUNCTION("""COMPUTED_VALUE"""),"CV60")</f>
        <v>CV60</v>
      </c>
      <c r="H304" s="19" t="str">
        <f>IFERROR(__xludf.DUMMYFUNCTION("""COMPUTED_VALUE"""),"ADM")</f>
        <v>ADM</v>
      </c>
      <c r="I304" s="19" t="str">
        <f>IFERROR(__xludf.DUMMYFUNCTION("""COMPUTED_VALUE"""),"Entregada")</f>
        <v>Entregada</v>
      </c>
      <c r="J304" s="20">
        <f>IFERROR(__xludf.DUMMYFUNCTION("""COMPUTED_VALUE"""),44774.0)</f>
        <v>44774</v>
      </c>
      <c r="K304" s="19" t="str">
        <f>IFERROR(__xludf.DUMMYFUNCTION("""COMPUTED_VALUE"""),"Entregada")</f>
        <v>Entregada</v>
      </c>
      <c r="L304" s="20">
        <f>IFERROR(__xludf.DUMMYFUNCTION("""COMPUTED_VALUE"""),44795.0)</f>
        <v>44795</v>
      </c>
      <c r="M304" s="19" t="str">
        <f>IFERROR(__xludf.DUMMYFUNCTION("""COMPUTED_VALUE"""),"PCM")</f>
        <v>PCM</v>
      </c>
      <c r="N304" s="19" t="str">
        <f>IFERROR(__xludf.DUMMYFUNCTION("""COMPUTED_VALUE"""),"PRIORIDAD 1 Q3 2023 OCTUBRE")</f>
        <v>PRIORIDAD 1 Q3 2023 OCTUBRE</v>
      </c>
    </row>
    <row r="305" ht="15.75" customHeight="1">
      <c r="A305" s="19" t="str">
        <f>IFERROR(__xludf.DUMMYFUNCTION("""COMPUTED_VALUE"""),"AB_9684")</f>
        <v>AB_9684</v>
      </c>
      <c r="B305" s="19" t="str">
        <f>IFERROR(__xludf.DUMMYFUNCTION("""COMPUTED_VALUE"""),"AB_9684_B")</f>
        <v>AB_9684_B</v>
      </c>
      <c r="C305" s="19" t="str">
        <f>IFERROR(__xludf.DUMMYFUNCTION("""COMPUTED_VALUE"""),"BI9684")</f>
        <v>BI9684</v>
      </c>
      <c r="D305" s="19" t="str">
        <f>IFERROR(__xludf.DUMMYFUNCTION("""COMPUTED_VALUE"""),"Los Puentes Arauco")</f>
        <v>Los Puentes Arauco</v>
      </c>
      <c r="E305" s="19" t="str">
        <f>IFERROR(__xludf.DUMMYFUNCTION("""COMPUTED_VALUE"""),"SITIO RFI")</f>
        <v>SITIO RFI</v>
      </c>
      <c r="F305" s="19" t="str">
        <f>IFERROR(__xludf.DUMMYFUNCTION("""COMPUTED_VALUE"""),"RFI")</f>
        <v>RFI</v>
      </c>
      <c r="G305" s="19" t="str">
        <f>IFERROR(__xludf.DUMMYFUNCTION("""COMPUTED_VALUE"""),"AS60")</f>
        <v>AS60</v>
      </c>
      <c r="H305" s="19" t="str">
        <f>IFERROR(__xludf.DUMMYFUNCTION("""COMPUTED_VALUE"""),"MER")</f>
        <v>MER</v>
      </c>
      <c r="I305" s="19" t="str">
        <f>IFERROR(__xludf.DUMMYFUNCTION("""COMPUTED_VALUE"""),"Entregada")</f>
        <v>Entregada</v>
      </c>
      <c r="J305" s="20">
        <f>IFERROR(__xludf.DUMMYFUNCTION("""COMPUTED_VALUE"""),44862.0)</f>
        <v>44862</v>
      </c>
      <c r="K305" s="19" t="str">
        <f>IFERROR(__xludf.DUMMYFUNCTION("""COMPUTED_VALUE"""),"Entregada")</f>
        <v>Entregada</v>
      </c>
      <c r="L305" s="20">
        <f>IFERROR(__xludf.DUMMYFUNCTION("""COMPUTED_VALUE"""),44950.0)</f>
        <v>44950</v>
      </c>
      <c r="M305" s="19" t="str">
        <f>IFERROR(__xludf.DUMMYFUNCTION("""COMPUTED_VALUE"""),"LLOO")</f>
        <v>LLOO</v>
      </c>
      <c r="N305" s="19" t="str">
        <f>IFERROR(__xludf.DUMMYFUNCTION("""COMPUTED_VALUE"""),"PRIORIDAD 1 Q3 2023 OCTUBRE")</f>
        <v>PRIORIDAD 1 Q3 2023 OCTUBRE</v>
      </c>
    </row>
    <row r="306" ht="15.75" customHeight="1">
      <c r="A306" s="19" t="str">
        <f>IFERROR(__xludf.DUMMYFUNCTION("""COMPUTED_VALUE"""),"AB_9806")</f>
        <v>AB_9806</v>
      </c>
      <c r="B306" s="19" t="str">
        <f>IFERROR(__xludf.DUMMYFUNCTION("""COMPUTED_VALUE"""),"AB_9806_A")</f>
        <v>AB_9806_A</v>
      </c>
      <c r="C306" s="19" t="str">
        <f>IFERROR(__xludf.DUMMYFUNCTION("""COMPUTED_VALUE"""),"AT9806")</f>
        <v>AT9806</v>
      </c>
      <c r="D306" s="19" t="str">
        <f>IFERROR(__xludf.DUMMYFUNCTION("""COMPUTED_VALUE"""),"Tierra amarilla ")</f>
        <v>Tierra amarilla </v>
      </c>
      <c r="E306" s="19" t="str">
        <f>IFERROR(__xludf.DUMMYFUNCTION("""COMPUTED_VALUE"""),"SITIO CONSTRUIDO")</f>
        <v>SITIO CONSTRUIDO</v>
      </c>
      <c r="F306" s="19" t="str">
        <f>IFERROR(__xludf.DUMMYFUNCTION("""COMPUTED_VALUE"""),"MONTAJE")</f>
        <v>MONTAJE</v>
      </c>
      <c r="G306" s="19" t="str">
        <f>IFERROR(__xludf.DUMMYFUNCTION("""COMPUTED_VALUE"""),"AS60")</f>
        <v>AS60</v>
      </c>
      <c r="H306" s="19" t="str">
        <f>IFERROR(__xludf.DUMMYFUNCTION("""COMPUTED_VALUE"""),"MER")</f>
        <v>MER</v>
      </c>
      <c r="I306" s="19" t="str">
        <f>IFERROR(__xludf.DUMMYFUNCTION("""COMPUTED_VALUE"""),"Entregada")</f>
        <v>Entregada</v>
      </c>
      <c r="J306" s="20">
        <f>IFERROR(__xludf.DUMMYFUNCTION("""COMPUTED_VALUE"""),44881.0)</f>
        <v>44881</v>
      </c>
      <c r="K306" s="19" t="str">
        <f>IFERROR(__xludf.DUMMYFUNCTION("""COMPUTED_VALUE"""),"Entregada")</f>
        <v>Entregada</v>
      </c>
      <c r="L306" s="20">
        <f>IFERROR(__xludf.DUMMYFUNCTION("""COMPUTED_VALUE"""),44890.0)</f>
        <v>44890</v>
      </c>
      <c r="M306" s="19" t="str">
        <f>IFERROR(__xludf.DUMMYFUNCTION("""COMPUTED_VALUE"""),"PCM")</f>
        <v>PCM</v>
      </c>
      <c r="N306" s="19" t="str">
        <f>IFERROR(__xludf.DUMMYFUNCTION("""COMPUTED_VALUE"""),"PRIORIDAD 1 Q3 2023 OCTUBRE")</f>
        <v>PRIORIDAD 1 Q3 2023 OCTUBRE</v>
      </c>
    </row>
    <row r="307" ht="15.75" customHeight="1">
      <c r="A307" s="19" t="str">
        <f>IFERROR(__xludf.DUMMYFUNCTION("""COMPUTED_VALUE"""),"AB_9692")</f>
        <v>AB_9692</v>
      </c>
      <c r="B307" s="19" t="str">
        <f>IFERROR(__xludf.DUMMYFUNCTION("""COMPUTED_VALUE"""),"AB_9692_A")</f>
        <v>AB_9692_A</v>
      </c>
      <c r="C307" s="19" t="str">
        <f>IFERROR(__xludf.DUMMYFUNCTION("""COMPUTED_VALUE"""),"BI9692")</f>
        <v>BI9692</v>
      </c>
      <c r="D307" s="19" t="str">
        <f>IFERROR(__xludf.DUMMYFUNCTION("""COMPUTED_VALUE"""),"Rio Pardo Quilleco")</f>
        <v>Rio Pardo Quilleco</v>
      </c>
      <c r="E307" s="19" t="str">
        <f>IFERROR(__xludf.DUMMYFUNCTION("""COMPUTED_VALUE"""),"SITIO RFI")</f>
        <v>SITIO RFI</v>
      </c>
      <c r="F307" s="19" t="str">
        <f>IFERROR(__xludf.DUMMYFUNCTION("""COMPUTED_VALUE"""),"RFI")</f>
        <v>RFI</v>
      </c>
      <c r="G307" s="19" t="str">
        <f>IFERROR(__xludf.DUMMYFUNCTION("""COMPUTED_VALUE"""),"AS60")</f>
        <v>AS60</v>
      </c>
      <c r="H307" s="19" t="str">
        <f>IFERROR(__xludf.DUMMYFUNCTION("""COMPUTED_VALUE"""),"ADM")</f>
        <v>ADM</v>
      </c>
      <c r="I307" s="19" t="str">
        <f>IFERROR(__xludf.DUMMYFUNCTION("""COMPUTED_VALUE"""),"Entregada")</f>
        <v>Entregada</v>
      </c>
      <c r="J307" s="20">
        <f>IFERROR(__xludf.DUMMYFUNCTION("""COMPUTED_VALUE"""),44750.0)</f>
        <v>44750</v>
      </c>
      <c r="K307" s="19" t="str">
        <f>IFERROR(__xludf.DUMMYFUNCTION("""COMPUTED_VALUE"""),"Entregada")</f>
        <v>Entregada</v>
      </c>
      <c r="L307" s="20">
        <f>IFERROR(__xludf.DUMMYFUNCTION("""COMPUTED_VALUE"""),44750.0)</f>
        <v>44750</v>
      </c>
      <c r="M307" s="19" t="str">
        <f>IFERROR(__xludf.DUMMYFUNCTION("""COMPUTED_VALUE"""),"LLOO")</f>
        <v>LLOO</v>
      </c>
      <c r="N307" s="19" t="str">
        <f>IFERROR(__xludf.DUMMYFUNCTION("""COMPUTED_VALUE"""),"PRIORIDAD 1 Q3 2023 OCTUBRE")</f>
        <v>PRIORIDAD 1 Q3 2023 OCTUBRE</v>
      </c>
    </row>
    <row r="308" ht="15.75" customHeight="1">
      <c r="A308" s="19" t="str">
        <f>IFERROR(__xludf.DUMMYFUNCTION("""COMPUTED_VALUE"""),"AB_9699")</f>
        <v>AB_9699</v>
      </c>
      <c r="B308" s="19" t="str">
        <f>IFERROR(__xludf.DUMMYFUNCTION("""COMPUTED_VALUE"""),"AB_9699_E")</f>
        <v>AB_9699_E</v>
      </c>
      <c r="C308" s="19" t="str">
        <f>IFERROR(__xludf.DUMMYFUNCTION("""COMPUTED_VALUE"""),"BI9699")</f>
        <v>BI9699</v>
      </c>
      <c r="D308" s="19" t="str">
        <f>IFERROR(__xludf.DUMMYFUNCTION("""COMPUTED_VALUE"""),"Los Caulles Cabrero")</f>
        <v>Los Caulles Cabrero</v>
      </c>
      <c r="E308" s="19" t="str">
        <f>IFERROR(__xludf.DUMMYFUNCTION("""COMPUTED_VALUE"""),"SITIO RFI")</f>
        <v>SITIO RFI</v>
      </c>
      <c r="F308" s="19" t="str">
        <f>IFERROR(__xludf.DUMMYFUNCTION("""COMPUTED_VALUE"""),"RFI")</f>
        <v>RFI</v>
      </c>
      <c r="G308" s="19" t="str">
        <f>IFERROR(__xludf.DUMMYFUNCTION("""COMPUTED_VALUE"""),"AS48")</f>
        <v>AS48</v>
      </c>
      <c r="H308" s="19" t="str">
        <f>IFERROR(__xludf.DUMMYFUNCTION("""COMPUTED_VALUE"""),"ADM")</f>
        <v>ADM</v>
      </c>
      <c r="I308" s="19" t="str">
        <f>IFERROR(__xludf.DUMMYFUNCTION("""COMPUTED_VALUE"""),"Entregada")</f>
        <v>Entregada</v>
      </c>
      <c r="J308" s="20">
        <f>IFERROR(__xludf.DUMMYFUNCTION("""COMPUTED_VALUE"""),44750.0)</f>
        <v>44750</v>
      </c>
      <c r="K308" s="19" t="str">
        <f>IFERROR(__xludf.DUMMYFUNCTION("""COMPUTED_VALUE"""),"Entregada")</f>
        <v>Entregada</v>
      </c>
      <c r="L308" s="20">
        <f>IFERROR(__xludf.DUMMYFUNCTION("""COMPUTED_VALUE"""),44785.0)</f>
        <v>44785</v>
      </c>
      <c r="M308" s="19" t="str">
        <f>IFERROR(__xludf.DUMMYFUNCTION("""COMPUTED_VALUE"""),"LLOO")</f>
        <v>LLOO</v>
      </c>
      <c r="N308" s="19" t="str">
        <f>IFERROR(__xludf.DUMMYFUNCTION("""COMPUTED_VALUE"""),"PRIORIDAD 1 Q3 2023 OCTUBRE")</f>
        <v>PRIORIDAD 1 Q3 2023 OCTUBRE</v>
      </c>
    </row>
    <row r="309" ht="15.75" customHeight="1">
      <c r="A309" s="19" t="str">
        <f>IFERROR(__xludf.DUMMYFUNCTION("""COMPUTED_VALUE"""),"AB_9702")</f>
        <v>AB_9702</v>
      </c>
      <c r="B309" s="19" t="str">
        <f>IFERROR(__xludf.DUMMYFUNCTION("""COMPUTED_VALUE"""),"AB_9702_B")</f>
        <v>AB_9702_B</v>
      </c>
      <c r="C309" s="19" t="str">
        <f>IFERROR(__xludf.DUMMYFUNCTION("""COMPUTED_VALUE"""),"BI9702")</f>
        <v>BI9702</v>
      </c>
      <c r="D309" s="19" t="str">
        <f>IFERROR(__xludf.DUMMYFUNCTION("""COMPUTED_VALUE"""),"Ruta O-52")</f>
        <v>Ruta O-52</v>
      </c>
      <c r="E309" s="19" t="str">
        <f>IFERROR(__xludf.DUMMYFUNCTION("""COMPUTED_VALUE"""),"DETENIDO MAYORISTA")</f>
        <v>DETENIDO MAYORISTA</v>
      </c>
      <c r="F309" s="19"/>
      <c r="G309" s="19" t="str">
        <f>IFERROR(__xludf.DUMMYFUNCTION("""COMPUTED_VALUE"""),"AS48")</f>
        <v>AS48</v>
      </c>
      <c r="H309" s="19" t="str">
        <f>IFERROR(__xludf.DUMMYFUNCTION("""COMPUTED_VALUE"""),"COMPRAS")</f>
        <v>COMPRAS</v>
      </c>
      <c r="I309" s="19"/>
      <c r="J309" s="19"/>
      <c r="K309" s="19"/>
      <c r="L309" s="19"/>
      <c r="M309" s="19" t="str">
        <f>IFERROR(__xludf.DUMMYFUNCTION("""COMPUTED_VALUE"""),"PCM")</f>
        <v>PCM</v>
      </c>
      <c r="N309" s="19" t="str">
        <f>IFERROR(__xludf.DUMMYFUNCTION("""COMPUTED_VALUE"""),"PRIORIDAD 3 Q1 2024 MARZO")</f>
        <v>PRIORIDAD 3 Q1 2024 MARZO</v>
      </c>
    </row>
    <row r="310" ht="15.75" customHeight="1">
      <c r="A310" s="19" t="str">
        <f>IFERROR(__xludf.DUMMYFUNCTION("""COMPUTED_VALUE"""),"AB_9705")</f>
        <v>AB_9705</v>
      </c>
      <c r="B310" s="19" t="str">
        <f>IFERROR(__xludf.DUMMYFUNCTION("""COMPUTED_VALUE"""),"AB_9705_B")</f>
        <v>AB_9705_B</v>
      </c>
      <c r="C310" s="19" t="str">
        <f>IFERROR(__xludf.DUMMYFUNCTION("""COMPUTED_VALUE"""),"BI9705")</f>
        <v>BI9705</v>
      </c>
      <c r="D310" s="19" t="str">
        <f>IFERROR(__xludf.DUMMYFUNCTION("""COMPUTED_VALUE"""),"Pajal Antuco")</f>
        <v>Pajal Antuco</v>
      </c>
      <c r="E310" s="19" t="str">
        <f>IFERROR(__xludf.DUMMYFUNCTION("""COMPUTED_VALUE"""),"SITIO RFI")</f>
        <v>SITIO RFI</v>
      </c>
      <c r="F310" s="19" t="str">
        <f>IFERROR(__xludf.DUMMYFUNCTION("""COMPUTED_VALUE"""),"RFI")</f>
        <v>RFI</v>
      </c>
      <c r="G310" s="19" t="str">
        <f>IFERROR(__xludf.DUMMYFUNCTION("""COMPUTED_VALUE"""),"AS60")</f>
        <v>AS60</v>
      </c>
      <c r="H310" s="19" t="str">
        <f>IFERROR(__xludf.DUMMYFUNCTION("""COMPUTED_VALUE"""),"MER")</f>
        <v>MER</v>
      </c>
      <c r="I310" s="19" t="str">
        <f>IFERROR(__xludf.DUMMYFUNCTION("""COMPUTED_VALUE"""),"Entregada")</f>
        <v>Entregada</v>
      </c>
      <c r="J310" s="20">
        <f>IFERROR(__xludf.DUMMYFUNCTION("""COMPUTED_VALUE"""),44662.0)</f>
        <v>44662</v>
      </c>
      <c r="K310" s="19" t="str">
        <f>IFERROR(__xludf.DUMMYFUNCTION("""COMPUTED_VALUE"""),"Entregada")</f>
        <v>Entregada</v>
      </c>
      <c r="L310" s="20">
        <f>IFERROR(__xludf.DUMMYFUNCTION("""COMPUTED_VALUE"""),44650.0)</f>
        <v>44650</v>
      </c>
      <c r="M310" s="19" t="str">
        <f>IFERROR(__xludf.DUMMYFUNCTION("""COMPUTED_VALUE"""),"PCM")</f>
        <v>PCM</v>
      </c>
      <c r="N310" s="19" t="str">
        <f>IFERROR(__xludf.DUMMYFUNCTION("""COMPUTED_VALUE"""),"PRIORIDAD 1 Q3 2023 OCTUBRE")</f>
        <v>PRIORIDAD 1 Q3 2023 OCTUBRE</v>
      </c>
    </row>
    <row r="311" ht="15.75" customHeight="1">
      <c r="A311" s="19" t="str">
        <f>IFERROR(__xludf.DUMMYFUNCTION("""COMPUTED_VALUE"""),"AB_9715")</f>
        <v>AB_9715</v>
      </c>
      <c r="B311" s="19" t="str">
        <f>IFERROR(__xludf.DUMMYFUNCTION("""COMPUTED_VALUE"""),"AB_9715_A")</f>
        <v>AB_9715_A</v>
      </c>
      <c r="C311" s="19" t="str">
        <f>IFERROR(__xludf.DUMMYFUNCTION("""COMPUTED_VALUE"""),"BI9715")</f>
        <v>BI9715</v>
      </c>
      <c r="D311" s="19" t="str">
        <f>IFERROR(__xludf.DUMMYFUNCTION("""COMPUTED_VALUE"""),"Ruta O-384")</f>
        <v>Ruta O-384</v>
      </c>
      <c r="E311" s="19" t="str">
        <f>IFERROR(__xludf.DUMMYFUNCTION("""COMPUTED_VALUE"""),"SITIO RFI")</f>
        <v>SITIO RFI</v>
      </c>
      <c r="F311" s="19" t="str">
        <f>IFERROR(__xludf.DUMMYFUNCTION("""COMPUTED_VALUE"""),"RFI")</f>
        <v>RFI</v>
      </c>
      <c r="G311" s="19" t="str">
        <f>IFERROR(__xludf.DUMMYFUNCTION("""COMPUTED_VALUE"""),"AS72")</f>
        <v>AS72</v>
      </c>
      <c r="H311" s="19" t="str">
        <f>IFERROR(__xludf.DUMMYFUNCTION("""COMPUTED_VALUE"""),"MER")</f>
        <v>MER</v>
      </c>
      <c r="I311" s="19" t="str">
        <f>IFERROR(__xludf.DUMMYFUNCTION("""COMPUTED_VALUE"""),"Entregada")</f>
        <v>Entregada</v>
      </c>
      <c r="J311" s="20">
        <f>IFERROR(__xludf.DUMMYFUNCTION("""COMPUTED_VALUE"""),44697.0)</f>
        <v>44697</v>
      </c>
      <c r="K311" s="19" t="str">
        <f>IFERROR(__xludf.DUMMYFUNCTION("""COMPUTED_VALUE"""),"Entregada")</f>
        <v>Entregada</v>
      </c>
      <c r="L311" s="20">
        <f>IFERROR(__xludf.DUMMYFUNCTION("""COMPUTED_VALUE"""),44722.0)</f>
        <v>44722</v>
      </c>
      <c r="M311" s="19" t="str">
        <f>IFERROR(__xludf.DUMMYFUNCTION("""COMPUTED_VALUE"""),"PCM")</f>
        <v>PCM</v>
      </c>
      <c r="N311" s="19" t="str">
        <f>IFERROR(__xludf.DUMMYFUNCTION("""COMPUTED_VALUE"""),"PRIORIDAD 1 Q3 2023 OCTUBRE")</f>
        <v>PRIORIDAD 1 Q3 2023 OCTUBRE</v>
      </c>
    </row>
    <row r="312" ht="15.75" customHeight="1">
      <c r="A312" s="19" t="str">
        <f>IFERROR(__xludf.DUMMYFUNCTION("""COMPUTED_VALUE"""),"AB_9720")</f>
        <v>AB_9720</v>
      </c>
      <c r="B312" s="19" t="str">
        <f>IFERROR(__xludf.DUMMYFUNCTION("""COMPUTED_VALUE"""),"AB_9720_A")</f>
        <v>AB_9720_A</v>
      </c>
      <c r="C312" s="19" t="str">
        <f>IFERROR(__xludf.DUMMYFUNCTION("""COMPUTED_VALUE"""),"BI9720")</f>
        <v>BI9720</v>
      </c>
      <c r="D312" s="19" t="str">
        <f>IFERROR(__xludf.DUMMYFUNCTION("""COMPUTED_VALUE"""),"Tanahuillin santa Juana")</f>
        <v>Tanahuillin santa Juana</v>
      </c>
      <c r="E312" s="19" t="str">
        <f>IFERROR(__xludf.DUMMYFUNCTION("""COMPUTED_VALUE"""),"DETENIDO MAYORISTA")</f>
        <v>DETENIDO MAYORISTA</v>
      </c>
      <c r="F312" s="19"/>
      <c r="G312" s="19" t="str">
        <f>IFERROR(__xludf.DUMMYFUNCTION("""COMPUTED_VALUE"""),"AS48")</f>
        <v>AS48</v>
      </c>
      <c r="H312" s="19" t="str">
        <f>IFERROR(__xludf.DUMMYFUNCTION("""COMPUTED_VALUE"""),"MER")</f>
        <v>MER</v>
      </c>
      <c r="I312" s="19" t="str">
        <f>IFERROR(__xludf.DUMMYFUNCTION("""COMPUTED_VALUE"""),"Entregada")</f>
        <v>Entregada</v>
      </c>
      <c r="J312" s="20">
        <f>IFERROR(__xludf.DUMMYFUNCTION("""COMPUTED_VALUE"""),44697.0)</f>
        <v>44697</v>
      </c>
      <c r="K312" s="19" t="str">
        <f>IFERROR(__xludf.DUMMYFUNCTION("""COMPUTED_VALUE"""),"Terminada")</f>
        <v>Terminada</v>
      </c>
      <c r="L312" s="20">
        <f>IFERROR(__xludf.DUMMYFUNCTION("""COMPUTED_VALUE"""),44742.0)</f>
        <v>44742</v>
      </c>
      <c r="M312" s="19" t="str">
        <f>IFERROR(__xludf.DUMMYFUNCTION("""COMPUTED_VALUE"""),"LLOO")</f>
        <v>LLOO</v>
      </c>
      <c r="N312" s="19" t="str">
        <f>IFERROR(__xludf.DUMMYFUNCTION("""COMPUTED_VALUE"""),"PRIORIDAD 3 Q1 2024 MARZO")</f>
        <v>PRIORIDAD 3 Q1 2024 MARZO</v>
      </c>
    </row>
    <row r="313" ht="15.75" customHeight="1">
      <c r="A313" s="19" t="str">
        <f>IFERROR(__xludf.DUMMYFUNCTION("""COMPUTED_VALUE"""),"AB_9723")</f>
        <v>AB_9723</v>
      </c>
      <c r="B313" s="19" t="str">
        <f>IFERROR(__xludf.DUMMYFUNCTION("""COMPUTED_VALUE"""),"AB_9723_C")</f>
        <v>AB_9723_C</v>
      </c>
      <c r="C313" s="19" t="str">
        <f>IFERROR(__xludf.DUMMYFUNCTION("""COMPUTED_VALUE"""),"BI9723")</f>
        <v>BI9723</v>
      </c>
      <c r="D313" s="19" t="str">
        <f>IFERROR(__xludf.DUMMYFUNCTION("""COMPUTED_VALUE"""),"Cuyimpalihue Cañete")</f>
        <v>Cuyimpalihue Cañete</v>
      </c>
      <c r="E313" s="19" t="str">
        <f>IFERROR(__xludf.DUMMYFUNCTION("""COMPUTED_VALUE"""),"SITIO RFI")</f>
        <v>SITIO RFI</v>
      </c>
      <c r="F313" s="19" t="str">
        <f>IFERROR(__xludf.DUMMYFUNCTION("""COMPUTED_VALUE"""),"RFI")</f>
        <v>RFI</v>
      </c>
      <c r="G313" s="19" t="str">
        <f>IFERROR(__xludf.DUMMYFUNCTION("""COMPUTED_VALUE"""),"CV60")</f>
        <v>CV60</v>
      </c>
      <c r="H313" s="19" t="str">
        <f>IFERROR(__xludf.DUMMYFUNCTION("""COMPUTED_VALUE"""),"DEPROMET")</f>
        <v>DEPROMET</v>
      </c>
      <c r="I313" s="19" t="str">
        <f>IFERROR(__xludf.DUMMYFUNCTION("""COMPUTED_VALUE"""),"Entregada")</f>
        <v>Entregada</v>
      </c>
      <c r="J313" s="20">
        <f>IFERROR(__xludf.DUMMYFUNCTION("""COMPUTED_VALUE"""),44839.0)</f>
        <v>44839</v>
      </c>
      <c r="K313" s="19" t="str">
        <f>IFERROR(__xludf.DUMMYFUNCTION("""COMPUTED_VALUE"""),"Entregada")</f>
        <v>Entregada</v>
      </c>
      <c r="L313" s="20">
        <f>IFERROR(__xludf.DUMMYFUNCTION("""COMPUTED_VALUE"""),44861.0)</f>
        <v>44861</v>
      </c>
      <c r="M313" s="19" t="str">
        <f>IFERROR(__xludf.DUMMYFUNCTION("""COMPUTED_VALUE"""),"LLOO")</f>
        <v>LLOO</v>
      </c>
      <c r="N313" s="19" t="str">
        <f>IFERROR(__xludf.DUMMYFUNCTION("""COMPUTED_VALUE"""),"PRIORIDAD 1 Q3 2023 OCTUBRE")</f>
        <v>PRIORIDAD 1 Q3 2023 OCTUBRE</v>
      </c>
    </row>
    <row r="314" ht="15.75" customHeight="1">
      <c r="A314" s="19" t="str">
        <f>IFERROR(__xludf.DUMMYFUNCTION("""COMPUTED_VALUE"""),"AB_9726")</f>
        <v>AB_9726</v>
      </c>
      <c r="B314" s="19" t="str">
        <f>IFERROR(__xludf.DUMMYFUNCTION("""COMPUTED_VALUE"""),"AB_9726_A")</f>
        <v>AB_9726_A</v>
      </c>
      <c r="C314" s="19" t="str">
        <f>IFERROR(__xludf.DUMMYFUNCTION("""COMPUTED_VALUE"""),"BI9726")</f>
        <v>BI9726</v>
      </c>
      <c r="D314" s="19" t="str">
        <f>IFERROR(__xludf.DUMMYFUNCTION("""COMPUTED_VALUE"""),"Cerro Negro Santa Barbara")</f>
        <v>Cerro Negro Santa Barbara</v>
      </c>
      <c r="E314" s="19" t="str">
        <f>IFERROR(__xludf.DUMMYFUNCTION("""COMPUTED_VALUE"""),"SITIO RFI")</f>
        <v>SITIO RFI</v>
      </c>
      <c r="F314" s="19" t="str">
        <f>IFERROR(__xludf.DUMMYFUNCTION("""COMPUTED_VALUE"""),"RFI")</f>
        <v>RFI</v>
      </c>
      <c r="G314" s="19" t="str">
        <f>IFERROR(__xludf.DUMMYFUNCTION("""COMPUTED_VALUE"""),"CV42")</f>
        <v>CV42</v>
      </c>
      <c r="H314" s="19" t="str">
        <f>IFERROR(__xludf.DUMMYFUNCTION("""COMPUTED_VALUE"""),"AJ")</f>
        <v>AJ</v>
      </c>
      <c r="I314" s="19" t="str">
        <f>IFERROR(__xludf.DUMMYFUNCTION("""COMPUTED_VALUE"""),"Entregada")</f>
        <v>Entregada</v>
      </c>
      <c r="J314" s="20">
        <f>IFERROR(__xludf.DUMMYFUNCTION("""COMPUTED_VALUE"""),44729.0)</f>
        <v>44729</v>
      </c>
      <c r="K314" s="19" t="str">
        <f>IFERROR(__xludf.DUMMYFUNCTION("""COMPUTED_VALUE"""),"Entregada")</f>
        <v>Entregada</v>
      </c>
      <c r="L314" s="20">
        <f>IFERROR(__xludf.DUMMYFUNCTION("""COMPUTED_VALUE"""),44837.0)</f>
        <v>44837</v>
      </c>
      <c r="M314" s="19" t="str">
        <f>IFERROR(__xludf.DUMMYFUNCTION("""COMPUTED_VALUE"""),"PCM")</f>
        <v>PCM</v>
      </c>
      <c r="N314" s="19" t="str">
        <f>IFERROR(__xludf.DUMMYFUNCTION("""COMPUTED_VALUE"""),"PRIORIDAD 1 Q3 2023 OCTUBRE")</f>
        <v>PRIORIDAD 1 Q3 2023 OCTUBRE</v>
      </c>
    </row>
    <row r="315" ht="15.75" customHeight="1">
      <c r="A315" s="19" t="str">
        <f>IFERROR(__xludf.DUMMYFUNCTION("""COMPUTED_VALUE"""),"AB_9729")</f>
        <v>AB_9729</v>
      </c>
      <c r="B315" s="19" t="str">
        <f>IFERROR(__xludf.DUMMYFUNCTION("""COMPUTED_VALUE"""),"AB_9729_A")</f>
        <v>AB_9729_A</v>
      </c>
      <c r="C315" s="19" t="str">
        <f>IFERROR(__xludf.DUMMYFUNCTION("""COMPUTED_VALUE"""),"BI9729")</f>
        <v>BI9729</v>
      </c>
      <c r="D315" s="19" t="str">
        <f>IFERROR(__xludf.DUMMYFUNCTION("""COMPUTED_VALUE"""),"San Roberto Mulchen")</f>
        <v>San Roberto Mulchen</v>
      </c>
      <c r="E315" s="19" t="str">
        <f>IFERROR(__xludf.DUMMYFUNCTION("""COMPUTED_VALUE"""),"SITIO RFI")</f>
        <v>SITIO RFI</v>
      </c>
      <c r="F315" s="19" t="str">
        <f>IFERROR(__xludf.DUMMYFUNCTION("""COMPUTED_VALUE"""),"RFI")</f>
        <v>RFI</v>
      </c>
      <c r="G315" s="19" t="str">
        <f>IFERROR(__xludf.DUMMYFUNCTION("""COMPUTED_VALUE"""),"AS60")</f>
        <v>AS60</v>
      </c>
      <c r="H315" s="19" t="str">
        <f>IFERROR(__xludf.DUMMYFUNCTION("""COMPUTED_VALUE"""),"ADM")</f>
        <v>ADM</v>
      </c>
      <c r="I315" s="19" t="str">
        <f>IFERROR(__xludf.DUMMYFUNCTION("""COMPUTED_VALUE"""),"Entregada")</f>
        <v>Entregada</v>
      </c>
      <c r="J315" s="20">
        <f>IFERROR(__xludf.DUMMYFUNCTION("""COMPUTED_VALUE"""),44750.0)</f>
        <v>44750</v>
      </c>
      <c r="K315" s="19" t="str">
        <f>IFERROR(__xludf.DUMMYFUNCTION("""COMPUTED_VALUE"""),"Entregada")</f>
        <v>Entregada</v>
      </c>
      <c r="L315" s="20">
        <f>IFERROR(__xludf.DUMMYFUNCTION("""COMPUTED_VALUE"""),44778.0)</f>
        <v>44778</v>
      </c>
      <c r="M315" s="19" t="str">
        <f>IFERROR(__xludf.DUMMYFUNCTION("""COMPUTED_VALUE"""),"LLOO")</f>
        <v>LLOO</v>
      </c>
      <c r="N315" s="19" t="str">
        <f>IFERROR(__xludf.DUMMYFUNCTION("""COMPUTED_VALUE"""),"PRIORIDAD 1 Q3 2023 OCTUBRE")</f>
        <v>PRIORIDAD 1 Q3 2023 OCTUBRE</v>
      </c>
    </row>
    <row r="316" ht="15.75" customHeight="1">
      <c r="A316" s="19" t="str">
        <f>IFERROR(__xludf.DUMMYFUNCTION("""COMPUTED_VALUE"""),"AB_9732")</f>
        <v>AB_9732</v>
      </c>
      <c r="B316" s="19" t="str">
        <f>IFERROR(__xludf.DUMMYFUNCTION("""COMPUTED_VALUE"""),"AB_9732_A")</f>
        <v>AB_9732_A</v>
      </c>
      <c r="C316" s="19" t="str">
        <f>IFERROR(__xludf.DUMMYFUNCTION("""COMPUTED_VALUE"""),"BI9732")</f>
        <v>BI9732</v>
      </c>
      <c r="D316" s="19" t="str">
        <f>IFERROR(__xludf.DUMMYFUNCTION("""COMPUTED_VALUE"""),"Piñiquihue Quilaco")</f>
        <v>Piñiquihue Quilaco</v>
      </c>
      <c r="E316" s="19" t="str">
        <f>IFERROR(__xludf.DUMMYFUNCTION("""COMPUTED_VALUE"""),"SITIO RFI")</f>
        <v>SITIO RFI</v>
      </c>
      <c r="F316" s="19" t="str">
        <f>IFERROR(__xludf.DUMMYFUNCTION("""COMPUTED_VALUE"""),"RFI")</f>
        <v>RFI</v>
      </c>
      <c r="G316" s="19" t="str">
        <f>IFERROR(__xludf.DUMMYFUNCTION("""COMPUTED_VALUE"""),"AS60")</f>
        <v>AS60</v>
      </c>
      <c r="H316" s="19" t="str">
        <f>IFERROR(__xludf.DUMMYFUNCTION("""COMPUTED_VALUE"""),"DEITEL")</f>
        <v>DEITEL</v>
      </c>
      <c r="I316" s="19" t="str">
        <f>IFERROR(__xludf.DUMMYFUNCTION("""COMPUTED_VALUE"""),"Entregada")</f>
        <v>Entregada</v>
      </c>
      <c r="J316" s="20">
        <f>IFERROR(__xludf.DUMMYFUNCTION("""COMPUTED_VALUE"""),44720.0)</f>
        <v>44720</v>
      </c>
      <c r="K316" s="19" t="str">
        <f>IFERROR(__xludf.DUMMYFUNCTION("""COMPUTED_VALUE"""),"Entregada")</f>
        <v>Entregada</v>
      </c>
      <c r="L316" s="20">
        <f>IFERROR(__xludf.DUMMYFUNCTION("""COMPUTED_VALUE"""),44767.0)</f>
        <v>44767</v>
      </c>
      <c r="M316" s="19" t="str">
        <f>IFERROR(__xludf.DUMMYFUNCTION("""COMPUTED_VALUE"""),"PCM")</f>
        <v>PCM</v>
      </c>
      <c r="N316" s="19" t="str">
        <f>IFERROR(__xludf.DUMMYFUNCTION("""COMPUTED_VALUE"""),"PRIORIDAD 1 Q3 2023 OCTUBRE")</f>
        <v>PRIORIDAD 1 Q3 2023 OCTUBRE</v>
      </c>
    </row>
    <row r="317" ht="15.75" customHeight="1">
      <c r="A317" s="19" t="str">
        <f>IFERROR(__xludf.DUMMYFUNCTION("""COMPUTED_VALUE"""),"AB_9735")</f>
        <v>AB_9735</v>
      </c>
      <c r="B317" s="19" t="str">
        <f>IFERROR(__xludf.DUMMYFUNCTION("""COMPUTED_VALUE"""),"AB_9735_A")</f>
        <v>AB_9735_A</v>
      </c>
      <c r="C317" s="19" t="str">
        <f>IFERROR(__xludf.DUMMYFUNCTION("""COMPUTED_VALUE"""),"BI9735")</f>
        <v>BI9735</v>
      </c>
      <c r="D317" s="19" t="str">
        <f>IFERROR(__xludf.DUMMYFUNCTION("""COMPUTED_VALUE"""),"San Roque Nacimiento")</f>
        <v>San Roque Nacimiento</v>
      </c>
      <c r="E317" s="19" t="str">
        <f>IFERROR(__xludf.DUMMYFUNCTION("""COMPUTED_VALUE"""),"SITIO RFI")</f>
        <v>SITIO RFI</v>
      </c>
      <c r="F317" s="19" t="str">
        <f>IFERROR(__xludf.DUMMYFUNCTION("""COMPUTED_VALUE"""),"RFI")</f>
        <v>RFI</v>
      </c>
      <c r="G317" s="19" t="str">
        <f>IFERROR(__xludf.DUMMYFUNCTION("""COMPUTED_VALUE"""),"AS60")</f>
        <v>AS60</v>
      </c>
      <c r="H317" s="19" t="str">
        <f>IFERROR(__xludf.DUMMYFUNCTION("""COMPUTED_VALUE"""),"DEITEL")</f>
        <v>DEITEL</v>
      </c>
      <c r="I317" s="19" t="str">
        <f>IFERROR(__xludf.DUMMYFUNCTION("""COMPUTED_VALUE"""),"Entregada")</f>
        <v>Entregada</v>
      </c>
      <c r="J317" s="20">
        <f>IFERROR(__xludf.DUMMYFUNCTION("""COMPUTED_VALUE"""),44672.0)</f>
        <v>44672</v>
      </c>
      <c r="K317" s="19" t="str">
        <f>IFERROR(__xludf.DUMMYFUNCTION("""COMPUTED_VALUE"""),"Entregada")</f>
        <v>Entregada</v>
      </c>
      <c r="L317" s="20">
        <f>IFERROR(__xludf.DUMMYFUNCTION("""COMPUTED_VALUE"""),44720.0)</f>
        <v>44720</v>
      </c>
      <c r="M317" s="19" t="str">
        <f>IFERROR(__xludf.DUMMYFUNCTION("""COMPUTED_VALUE"""),"PCM")</f>
        <v>PCM</v>
      </c>
      <c r="N317" s="19" t="str">
        <f>IFERROR(__xludf.DUMMYFUNCTION("""COMPUTED_VALUE"""),"PRIORIDAD 1 Q3 2023 OCTUBRE")</f>
        <v>PRIORIDAD 1 Q3 2023 OCTUBRE</v>
      </c>
    </row>
    <row r="318" ht="15.75" customHeight="1">
      <c r="A318" s="19" t="str">
        <f>IFERROR(__xludf.DUMMYFUNCTION("""COMPUTED_VALUE"""),"AB_9737")</f>
        <v>AB_9737</v>
      </c>
      <c r="B318" s="19" t="str">
        <f>IFERROR(__xludf.DUMMYFUNCTION("""COMPUTED_VALUE"""),"AB_9737_A")</f>
        <v>AB_9737_A</v>
      </c>
      <c r="C318" s="19" t="str">
        <f>IFERROR(__xludf.DUMMYFUNCTION("""COMPUTED_VALUE"""),"BI9737")</f>
        <v>BI9737</v>
      </c>
      <c r="D318" s="19" t="str">
        <f>IFERROR(__xludf.DUMMYFUNCTION("""COMPUTED_VALUE"""),"Villa Rastrojos Tucapel")</f>
        <v>Villa Rastrojos Tucapel</v>
      </c>
      <c r="E318" s="19" t="str">
        <f>IFERROR(__xludf.DUMMYFUNCTION("""COMPUTED_VALUE"""),"SITIO RFI")</f>
        <v>SITIO RFI</v>
      </c>
      <c r="F318" s="19" t="str">
        <f>IFERROR(__xludf.DUMMYFUNCTION("""COMPUTED_VALUE"""),"RFI")</f>
        <v>RFI</v>
      </c>
      <c r="G318" s="19" t="str">
        <f>IFERROR(__xludf.DUMMYFUNCTION("""COMPUTED_VALUE"""),"CV48")</f>
        <v>CV48</v>
      </c>
      <c r="H318" s="19" t="str">
        <f>IFERROR(__xludf.DUMMYFUNCTION("""COMPUTED_VALUE"""),"DEITEL")</f>
        <v>DEITEL</v>
      </c>
      <c r="I318" s="19" t="str">
        <f>IFERROR(__xludf.DUMMYFUNCTION("""COMPUTED_VALUE"""),"Entregada")</f>
        <v>Entregada</v>
      </c>
      <c r="J318" s="20">
        <f>IFERROR(__xludf.DUMMYFUNCTION("""COMPUTED_VALUE"""),44872.0)</f>
        <v>44872</v>
      </c>
      <c r="K318" s="19" t="str">
        <f>IFERROR(__xludf.DUMMYFUNCTION("""COMPUTED_VALUE"""),"Entregada")</f>
        <v>Entregada</v>
      </c>
      <c r="L318" s="20">
        <f>IFERROR(__xludf.DUMMYFUNCTION("""COMPUTED_VALUE"""),44902.0)</f>
        <v>44902</v>
      </c>
      <c r="M318" s="19" t="str">
        <f>IFERROR(__xludf.DUMMYFUNCTION("""COMPUTED_VALUE"""),"LLOO")</f>
        <v>LLOO</v>
      </c>
      <c r="N318" s="19" t="str">
        <f>IFERROR(__xludf.DUMMYFUNCTION("""COMPUTED_VALUE"""),"PRIORIDAD 1 Q3 2023 OCTUBRE")</f>
        <v>PRIORIDAD 1 Q3 2023 OCTUBRE</v>
      </c>
    </row>
    <row r="319" ht="15.75" customHeight="1">
      <c r="A319" s="19" t="str">
        <f>IFERROR(__xludf.DUMMYFUNCTION("""COMPUTED_VALUE"""),"AB_9740")</f>
        <v>AB_9740</v>
      </c>
      <c r="B319" s="19" t="str">
        <f>IFERROR(__xludf.DUMMYFUNCTION("""COMPUTED_VALUE"""),"AB_9740_A")</f>
        <v>AB_9740_A</v>
      </c>
      <c r="C319" s="19" t="str">
        <f>IFERROR(__xludf.DUMMYFUNCTION("""COMPUTED_VALUE"""),"BI9740")</f>
        <v>BI9740</v>
      </c>
      <c r="D319" s="19" t="str">
        <f>IFERROR(__xludf.DUMMYFUNCTION("""COMPUTED_VALUE"""),"Vega Blanca Yumbel")</f>
        <v>Vega Blanca Yumbel</v>
      </c>
      <c r="E319" s="19" t="str">
        <f>IFERROR(__xludf.DUMMYFUNCTION("""COMPUTED_VALUE"""),"SITIO RFI")</f>
        <v>SITIO RFI</v>
      </c>
      <c r="F319" s="19" t="str">
        <f>IFERROR(__xludf.DUMMYFUNCTION("""COMPUTED_VALUE"""),"RFI")</f>
        <v>RFI</v>
      </c>
      <c r="G319" s="19" t="str">
        <f>IFERROR(__xludf.DUMMYFUNCTION("""COMPUTED_VALUE"""),"AS60")</f>
        <v>AS60</v>
      </c>
      <c r="H319" s="19" t="str">
        <f>IFERROR(__xludf.DUMMYFUNCTION("""COMPUTED_VALUE"""),"MER")</f>
        <v>MER</v>
      </c>
      <c r="I319" s="19" t="str">
        <f>IFERROR(__xludf.DUMMYFUNCTION("""COMPUTED_VALUE"""),"Entregada")</f>
        <v>Entregada</v>
      </c>
      <c r="J319" s="20">
        <f>IFERROR(__xludf.DUMMYFUNCTION("""COMPUTED_VALUE"""),44722.0)</f>
        <v>44722</v>
      </c>
      <c r="K319" s="19" t="str">
        <f>IFERROR(__xludf.DUMMYFUNCTION("""COMPUTED_VALUE"""),"Entregada")</f>
        <v>Entregada</v>
      </c>
      <c r="L319" s="20">
        <f>IFERROR(__xludf.DUMMYFUNCTION("""COMPUTED_VALUE"""),44743.0)</f>
        <v>44743</v>
      </c>
      <c r="M319" s="19" t="str">
        <f>IFERROR(__xludf.DUMMYFUNCTION("""COMPUTED_VALUE"""),"LLOO")</f>
        <v>LLOO</v>
      </c>
      <c r="N319" s="19" t="str">
        <f>IFERROR(__xludf.DUMMYFUNCTION("""COMPUTED_VALUE"""),"PRIORIDAD 1 Q3 2023 OCTUBRE")</f>
        <v>PRIORIDAD 1 Q3 2023 OCTUBRE</v>
      </c>
    </row>
    <row r="320" ht="15.75" customHeight="1">
      <c r="A320" s="19" t="str">
        <f>IFERROR(__xludf.DUMMYFUNCTION("""COMPUTED_VALUE"""),"AB_9743")</f>
        <v>AB_9743</v>
      </c>
      <c r="B320" s="19" t="str">
        <f>IFERROR(__xludf.DUMMYFUNCTION("""COMPUTED_VALUE"""),"AB_9743_C")</f>
        <v>AB_9743_C</v>
      </c>
      <c r="C320" s="19" t="str">
        <f>IFERROR(__xludf.DUMMYFUNCTION("""COMPUTED_VALUE"""),"BI9743")</f>
        <v>BI9743</v>
      </c>
      <c r="D320" s="19" t="str">
        <f>IFERROR(__xludf.DUMMYFUNCTION("""COMPUTED_VALUE"""),"Ruta 148 Puente 3")</f>
        <v>Ruta 148 Puente 3</v>
      </c>
      <c r="E320" s="19" t="str">
        <f>IFERROR(__xludf.DUMMYFUNCTION("""COMPUTED_VALUE"""),"SITIO RFI")</f>
        <v>SITIO RFI</v>
      </c>
      <c r="F320" s="19" t="str">
        <f>IFERROR(__xludf.DUMMYFUNCTION("""COMPUTED_VALUE"""),"RFI")</f>
        <v>RFI</v>
      </c>
      <c r="G320" s="19" t="str">
        <f>IFERROR(__xludf.DUMMYFUNCTION("""COMPUTED_VALUE"""),"AS60")</f>
        <v>AS60</v>
      </c>
      <c r="H320" s="19" t="str">
        <f>IFERROR(__xludf.DUMMYFUNCTION("""COMPUTED_VALUE"""),"MER")</f>
        <v>MER</v>
      </c>
      <c r="I320" s="19" t="str">
        <f>IFERROR(__xludf.DUMMYFUNCTION("""COMPUTED_VALUE"""),"Entregada")</f>
        <v>Entregada</v>
      </c>
      <c r="J320" s="20">
        <f>IFERROR(__xludf.DUMMYFUNCTION("""COMPUTED_VALUE"""),44862.0)</f>
        <v>44862</v>
      </c>
      <c r="K320" s="19" t="str">
        <f>IFERROR(__xludf.DUMMYFUNCTION("""COMPUTED_VALUE"""),"Entregada")</f>
        <v>Entregada</v>
      </c>
      <c r="L320" s="20">
        <f>IFERROR(__xludf.DUMMYFUNCTION("""COMPUTED_VALUE"""),44883.0)</f>
        <v>44883</v>
      </c>
      <c r="M320" s="19" t="str">
        <f>IFERROR(__xludf.DUMMYFUNCTION("""COMPUTED_VALUE"""),"LLOO")</f>
        <v>LLOO</v>
      </c>
      <c r="N320" s="19" t="str">
        <f>IFERROR(__xludf.DUMMYFUNCTION("""COMPUTED_VALUE"""),"PRIORIDAD 1 Q3 2023 OCTUBRE")</f>
        <v>PRIORIDAD 1 Q3 2023 OCTUBRE</v>
      </c>
    </row>
    <row r="321" ht="15.75" customHeight="1">
      <c r="A321" s="19" t="str">
        <f>IFERROR(__xludf.DUMMYFUNCTION("""COMPUTED_VALUE"""),"AB_9745")</f>
        <v>AB_9745</v>
      </c>
      <c r="B321" s="19" t="str">
        <f>IFERROR(__xludf.DUMMYFUNCTION("""COMPUTED_VALUE"""),"AB_9745_C")</f>
        <v>AB_9745_C</v>
      </c>
      <c r="C321" s="19" t="str">
        <f>IFERROR(__xludf.DUMMYFUNCTION("""COMPUTED_VALUE"""),"BI9745")</f>
        <v>BI9745</v>
      </c>
      <c r="D321" s="19" t="str">
        <f>IFERROR(__xludf.DUMMYFUNCTION("""COMPUTED_VALUE"""),"Cuyinco Bajo")</f>
        <v>Cuyinco Bajo</v>
      </c>
      <c r="E321" s="19" t="str">
        <f>IFERROR(__xludf.DUMMYFUNCTION("""COMPUTED_VALUE"""),"SITIO RFI")</f>
        <v>SITIO RFI</v>
      </c>
      <c r="F321" s="19" t="str">
        <f>IFERROR(__xludf.DUMMYFUNCTION("""COMPUTED_VALUE"""),"RFI")</f>
        <v>RFI</v>
      </c>
      <c r="G321" s="19" t="str">
        <f>IFERROR(__xludf.DUMMYFUNCTION("""COMPUTED_VALUE"""),"AS60")</f>
        <v>AS60</v>
      </c>
      <c r="H321" s="19" t="str">
        <f>IFERROR(__xludf.DUMMYFUNCTION("""COMPUTED_VALUE"""),"ADM")</f>
        <v>ADM</v>
      </c>
      <c r="I321" s="19" t="str">
        <f>IFERROR(__xludf.DUMMYFUNCTION("""COMPUTED_VALUE"""),"Entregada")</f>
        <v>Entregada</v>
      </c>
      <c r="J321" s="20">
        <f>IFERROR(__xludf.DUMMYFUNCTION("""COMPUTED_VALUE"""),44750.0)</f>
        <v>44750</v>
      </c>
      <c r="K321" s="19" t="str">
        <f>IFERROR(__xludf.DUMMYFUNCTION("""COMPUTED_VALUE"""),"Entregada")</f>
        <v>Entregada</v>
      </c>
      <c r="L321" s="20">
        <f>IFERROR(__xludf.DUMMYFUNCTION("""COMPUTED_VALUE"""),44750.0)</f>
        <v>44750</v>
      </c>
      <c r="M321" s="19" t="str">
        <f>IFERROR(__xludf.DUMMYFUNCTION("""COMPUTED_VALUE"""),"LLOO")</f>
        <v>LLOO</v>
      </c>
      <c r="N321" s="19" t="str">
        <f>IFERROR(__xludf.DUMMYFUNCTION("""COMPUTED_VALUE"""),"PRIORIDAD 1 Q3 2023 OCTUBRE")</f>
        <v>PRIORIDAD 1 Q3 2023 OCTUBRE</v>
      </c>
    </row>
    <row r="322" ht="15.75" customHeight="1">
      <c r="A322" s="19" t="str">
        <f>IFERROR(__xludf.DUMMYFUNCTION("""COMPUTED_VALUE"""),"AB_9751")</f>
        <v>AB_9751</v>
      </c>
      <c r="B322" s="19" t="str">
        <f>IFERROR(__xludf.DUMMYFUNCTION("""COMPUTED_VALUE"""),"AB_9751_A")</f>
        <v>AB_9751_A</v>
      </c>
      <c r="C322" s="19" t="str">
        <f>IFERROR(__xludf.DUMMYFUNCTION("""COMPUTED_VALUE"""),"BI9751")</f>
        <v>BI9751</v>
      </c>
      <c r="D322" s="19" t="str">
        <f>IFERROR(__xludf.DUMMYFUNCTION("""COMPUTED_VALUE"""),"Puente 7 Florida")</f>
        <v>Puente 7 Florida</v>
      </c>
      <c r="E322" s="19" t="str">
        <f>IFERROR(__xludf.DUMMYFUNCTION("""COMPUTED_VALUE"""),"SITIO RFI")</f>
        <v>SITIO RFI</v>
      </c>
      <c r="F322" s="19" t="str">
        <f>IFERROR(__xludf.DUMMYFUNCTION("""COMPUTED_VALUE"""),"RFI")</f>
        <v>RFI</v>
      </c>
      <c r="G322" s="19" t="str">
        <f>IFERROR(__xludf.DUMMYFUNCTION("""COMPUTED_VALUE"""),"AS60")</f>
        <v>AS60</v>
      </c>
      <c r="H322" s="19" t="str">
        <f>IFERROR(__xludf.DUMMYFUNCTION("""COMPUTED_VALUE"""),"DEITEL")</f>
        <v>DEITEL</v>
      </c>
      <c r="I322" s="19" t="str">
        <f>IFERROR(__xludf.DUMMYFUNCTION("""COMPUTED_VALUE"""),"Entregada")</f>
        <v>Entregada</v>
      </c>
      <c r="J322" s="20">
        <f>IFERROR(__xludf.DUMMYFUNCTION("""COMPUTED_VALUE"""),44672.0)</f>
        <v>44672</v>
      </c>
      <c r="K322" s="19" t="str">
        <f>IFERROR(__xludf.DUMMYFUNCTION("""COMPUTED_VALUE"""),"Entregada")</f>
        <v>Entregada</v>
      </c>
      <c r="L322" s="20">
        <f>IFERROR(__xludf.DUMMYFUNCTION("""COMPUTED_VALUE"""),44706.0)</f>
        <v>44706</v>
      </c>
      <c r="M322" s="19" t="str">
        <f>IFERROR(__xludf.DUMMYFUNCTION("""COMPUTED_VALUE"""),"PCM")</f>
        <v>PCM</v>
      </c>
      <c r="N322" s="19" t="str">
        <f>IFERROR(__xludf.DUMMYFUNCTION("""COMPUTED_VALUE"""),"PRIORIDAD 1 Q3 2023 OCTUBRE")</f>
        <v>PRIORIDAD 1 Q3 2023 OCTUBRE</v>
      </c>
    </row>
    <row r="323" ht="15.75" customHeight="1">
      <c r="A323" s="19" t="str">
        <f>IFERROR(__xludf.DUMMYFUNCTION("""COMPUTED_VALUE"""),"AB_9756")</f>
        <v>AB_9756</v>
      </c>
      <c r="B323" s="19" t="str">
        <f>IFERROR(__xludf.DUMMYFUNCTION("""COMPUTED_VALUE"""),"AB_9756_A")</f>
        <v>AB_9756_A</v>
      </c>
      <c r="C323" s="19" t="str">
        <f>IFERROR(__xludf.DUMMYFUNCTION("""COMPUTED_VALUE"""),"BI9756")</f>
        <v>BI9756</v>
      </c>
      <c r="D323" s="19" t="str">
        <f>IFERROR(__xludf.DUMMYFUNCTION("""COMPUTED_VALUE"""),"Paso de Arena Los Angeles")</f>
        <v>Paso de Arena Los Angeles</v>
      </c>
      <c r="E323" s="19" t="str">
        <f>IFERROR(__xludf.DUMMYFUNCTION("""COMPUTED_VALUE"""),"SITIO RFI")</f>
        <v>SITIO RFI</v>
      </c>
      <c r="F323" s="19" t="str">
        <f>IFERROR(__xludf.DUMMYFUNCTION("""COMPUTED_VALUE"""),"RFI")</f>
        <v>RFI</v>
      </c>
      <c r="G323" s="19" t="str">
        <f>IFERROR(__xludf.DUMMYFUNCTION("""COMPUTED_VALUE"""),"AS54")</f>
        <v>AS54</v>
      </c>
      <c r="H323" s="19" t="str">
        <f>IFERROR(__xludf.DUMMYFUNCTION("""COMPUTED_VALUE"""),"MER")</f>
        <v>MER</v>
      </c>
      <c r="I323" s="19" t="str">
        <f>IFERROR(__xludf.DUMMYFUNCTION("""COMPUTED_VALUE"""),"Entregada")</f>
        <v>Entregada</v>
      </c>
      <c r="J323" s="20">
        <f>IFERROR(__xludf.DUMMYFUNCTION("""COMPUTED_VALUE"""),44881.0)</f>
        <v>44881</v>
      </c>
      <c r="K323" s="19" t="str">
        <f>IFERROR(__xludf.DUMMYFUNCTION("""COMPUTED_VALUE"""),"Entregada")</f>
        <v>Entregada</v>
      </c>
      <c r="L323" s="20">
        <f>IFERROR(__xludf.DUMMYFUNCTION("""COMPUTED_VALUE"""),44883.0)</f>
        <v>44883</v>
      </c>
      <c r="M323" s="19" t="str">
        <f>IFERROR(__xludf.DUMMYFUNCTION("""COMPUTED_VALUE"""),"LLOO")</f>
        <v>LLOO</v>
      </c>
      <c r="N323" s="19" t="str">
        <f>IFERROR(__xludf.DUMMYFUNCTION("""COMPUTED_VALUE"""),"PRIORIDAD 1 Q3 2023 OCTUBRE")</f>
        <v>PRIORIDAD 1 Q3 2023 OCTUBRE</v>
      </c>
    </row>
    <row r="324" ht="15.75" customHeight="1">
      <c r="A324" s="19" t="str">
        <f>IFERROR(__xludf.DUMMYFUNCTION("""COMPUTED_VALUE"""),"AB_9761")</f>
        <v>AB_9761</v>
      </c>
      <c r="B324" s="19" t="str">
        <f>IFERROR(__xludf.DUMMYFUNCTION("""COMPUTED_VALUE"""),"AB_9761_B")</f>
        <v>AB_9761_B</v>
      </c>
      <c r="C324" s="19" t="str">
        <f>IFERROR(__xludf.DUMMYFUNCTION("""COMPUTED_VALUE"""),"BI9761")</f>
        <v>BI9761</v>
      </c>
      <c r="D324" s="19" t="str">
        <f>IFERROR(__xludf.DUMMYFUNCTION("""COMPUTED_VALUE"""),"Quilquilco Tirua")</f>
        <v>Quilquilco Tirua</v>
      </c>
      <c r="E324" s="19" t="str">
        <f>IFERROR(__xludf.DUMMYFUNCTION("""COMPUTED_VALUE"""),"SITIO RFI")</f>
        <v>SITIO RFI</v>
      </c>
      <c r="F324" s="19" t="str">
        <f>IFERROR(__xludf.DUMMYFUNCTION("""COMPUTED_VALUE"""),"RFI")</f>
        <v>RFI</v>
      </c>
      <c r="G324" s="19" t="str">
        <f>IFERROR(__xludf.DUMMYFUNCTION("""COMPUTED_VALUE"""),"CV60")</f>
        <v>CV60</v>
      </c>
      <c r="H324" s="19" t="str">
        <f>IFERROR(__xludf.DUMMYFUNCTION("""COMPUTED_VALUE"""),"DEPROMET")</f>
        <v>DEPROMET</v>
      </c>
      <c r="I324" s="19" t="str">
        <f>IFERROR(__xludf.DUMMYFUNCTION("""COMPUTED_VALUE"""),"Entregada")</f>
        <v>Entregada</v>
      </c>
      <c r="J324" s="20">
        <f>IFERROR(__xludf.DUMMYFUNCTION("""COMPUTED_VALUE"""),44893.0)</f>
        <v>44893</v>
      </c>
      <c r="K324" s="19" t="str">
        <f>IFERROR(__xludf.DUMMYFUNCTION("""COMPUTED_VALUE"""),"Entregada")</f>
        <v>Entregada</v>
      </c>
      <c r="L324" s="20">
        <f>IFERROR(__xludf.DUMMYFUNCTION("""COMPUTED_VALUE"""),44911.0)</f>
        <v>44911</v>
      </c>
      <c r="M324" s="19" t="str">
        <f>IFERROR(__xludf.DUMMYFUNCTION("""COMPUTED_VALUE"""),"LLOO")</f>
        <v>LLOO</v>
      </c>
      <c r="N324" s="19" t="str">
        <f>IFERROR(__xludf.DUMMYFUNCTION("""COMPUTED_VALUE"""),"PRIORIDAD 1 Q3 2023 OCTUBRE")</f>
        <v>PRIORIDAD 1 Q3 2023 OCTUBRE</v>
      </c>
    </row>
    <row r="325" ht="15.75" customHeight="1">
      <c r="A325" s="19" t="str">
        <f>IFERROR(__xludf.DUMMYFUNCTION("""COMPUTED_VALUE"""),"AB_9764")</f>
        <v>AB_9764</v>
      </c>
      <c r="B325" s="19" t="str">
        <f>IFERROR(__xludf.DUMMYFUNCTION("""COMPUTED_VALUE"""),"AB_9764_B")</f>
        <v>AB_9764_B</v>
      </c>
      <c r="C325" s="19" t="str">
        <f>IFERROR(__xludf.DUMMYFUNCTION("""COMPUTED_VALUE"""),"BI9764")</f>
        <v>BI9764</v>
      </c>
      <c r="D325" s="19" t="str">
        <f>IFERROR(__xludf.DUMMYFUNCTION("""COMPUTED_VALUE"""),"La Isla Los Angeles")</f>
        <v>La Isla Los Angeles</v>
      </c>
      <c r="E325" s="19" t="str">
        <f>IFERROR(__xludf.DUMMYFUNCTION("""COMPUTED_VALUE"""),"SITIO RFI")</f>
        <v>SITIO RFI</v>
      </c>
      <c r="F325" s="19" t="str">
        <f>IFERROR(__xludf.DUMMYFUNCTION("""COMPUTED_VALUE"""),"RFI")</f>
        <v>RFI</v>
      </c>
      <c r="G325" s="19" t="str">
        <f>IFERROR(__xludf.DUMMYFUNCTION("""COMPUTED_VALUE"""),"CV60")</f>
        <v>CV60</v>
      </c>
      <c r="H325" s="19" t="str">
        <f>IFERROR(__xludf.DUMMYFUNCTION("""COMPUTED_VALUE"""),"DEPROMET")</f>
        <v>DEPROMET</v>
      </c>
      <c r="I325" s="19" t="str">
        <f>IFERROR(__xludf.DUMMYFUNCTION("""COMPUTED_VALUE"""),"Entregada")</f>
        <v>Entregada</v>
      </c>
      <c r="J325" s="20">
        <f>IFERROR(__xludf.DUMMYFUNCTION("""COMPUTED_VALUE"""),44839.0)</f>
        <v>44839</v>
      </c>
      <c r="K325" s="19" t="str">
        <f>IFERROR(__xludf.DUMMYFUNCTION("""COMPUTED_VALUE"""),"Entregada")</f>
        <v>Entregada</v>
      </c>
      <c r="L325" s="20">
        <f>IFERROR(__xludf.DUMMYFUNCTION("""COMPUTED_VALUE"""),44861.0)</f>
        <v>44861</v>
      </c>
      <c r="M325" s="19" t="str">
        <f>IFERROR(__xludf.DUMMYFUNCTION("""COMPUTED_VALUE"""),"LLOO")</f>
        <v>LLOO</v>
      </c>
      <c r="N325" s="19" t="str">
        <f>IFERROR(__xludf.DUMMYFUNCTION("""COMPUTED_VALUE"""),"PRIORIDAD 1 Q3 2023 OCTUBRE")</f>
        <v>PRIORIDAD 1 Q3 2023 OCTUBRE</v>
      </c>
    </row>
    <row r="326" ht="15.75" customHeight="1">
      <c r="A326" s="19" t="str">
        <f>IFERROR(__xludf.DUMMYFUNCTION("""COMPUTED_VALUE"""),"AB_9768")</f>
        <v>AB_9768</v>
      </c>
      <c r="B326" s="19" t="str">
        <f>IFERROR(__xludf.DUMMYFUNCTION("""COMPUTED_VALUE"""),"AB_9768_C")</f>
        <v>AB_9768_C</v>
      </c>
      <c r="C326" s="19" t="str">
        <f>IFERROR(__xludf.DUMMYFUNCTION("""COMPUTED_VALUE"""),"BI9768")</f>
        <v>BI9768</v>
      </c>
      <c r="D326" s="19" t="str">
        <f>IFERROR(__xludf.DUMMYFUNCTION("""COMPUTED_VALUE"""),"Rinconada de Huaqui")</f>
        <v>Rinconada de Huaqui</v>
      </c>
      <c r="E326" s="19" t="str">
        <f>IFERROR(__xludf.DUMMYFUNCTION("""COMPUTED_VALUE"""),"SITIO RFI")</f>
        <v>SITIO RFI</v>
      </c>
      <c r="F326" s="19" t="str">
        <f>IFERROR(__xludf.DUMMYFUNCTION("""COMPUTED_VALUE"""),"RFI")</f>
        <v>RFI</v>
      </c>
      <c r="G326" s="19" t="str">
        <f>IFERROR(__xludf.DUMMYFUNCTION("""COMPUTED_VALUE"""),"CV60")</f>
        <v>CV60</v>
      </c>
      <c r="H326" s="19" t="str">
        <f>IFERROR(__xludf.DUMMYFUNCTION("""COMPUTED_VALUE"""),"DEPROMET")</f>
        <v>DEPROMET</v>
      </c>
      <c r="I326" s="19" t="str">
        <f>IFERROR(__xludf.DUMMYFUNCTION("""COMPUTED_VALUE"""),"Entregada")</f>
        <v>Entregada</v>
      </c>
      <c r="J326" s="20">
        <f>IFERROR(__xludf.DUMMYFUNCTION("""COMPUTED_VALUE"""),44883.0)</f>
        <v>44883</v>
      </c>
      <c r="K326" s="19" t="str">
        <f>IFERROR(__xludf.DUMMYFUNCTION("""COMPUTED_VALUE"""),"Entregada")</f>
        <v>Entregada</v>
      </c>
      <c r="L326" s="20">
        <f>IFERROR(__xludf.DUMMYFUNCTION("""COMPUTED_VALUE"""),44904.0)</f>
        <v>44904</v>
      </c>
      <c r="M326" s="19" t="str">
        <f>IFERROR(__xludf.DUMMYFUNCTION("""COMPUTED_VALUE"""),"LLOO")</f>
        <v>LLOO</v>
      </c>
      <c r="N326" s="19" t="str">
        <f>IFERROR(__xludf.DUMMYFUNCTION("""COMPUTED_VALUE"""),"PRIORIDAD 1 Q3 2023 OCTUBRE")</f>
        <v>PRIORIDAD 1 Q3 2023 OCTUBRE</v>
      </c>
    </row>
    <row r="327" ht="15.75" customHeight="1">
      <c r="A327" s="19" t="str">
        <f>IFERROR(__xludf.DUMMYFUNCTION("""COMPUTED_VALUE"""),"AB_9773")</f>
        <v>AB_9773</v>
      </c>
      <c r="B327" s="19" t="str">
        <f>IFERROR(__xludf.DUMMYFUNCTION("""COMPUTED_VALUE"""),"AB_9773_C")</f>
        <v>AB_9773_C</v>
      </c>
      <c r="C327" s="19" t="str">
        <f>IFERROR(__xludf.DUMMYFUNCTION("""COMPUTED_VALUE"""),"BI9773")</f>
        <v>BI9773</v>
      </c>
      <c r="D327" s="19" t="str">
        <f>IFERROR(__xludf.DUMMYFUNCTION("""COMPUTED_VALUE"""),"Malla-Malla")</f>
        <v>Malla-Malla</v>
      </c>
      <c r="E327" s="19" t="str">
        <f>IFERROR(__xludf.DUMMYFUNCTION("""COMPUTED_VALUE"""),"SITIO EN CONSTRUCCION")</f>
        <v>SITIO EN CONSTRUCCION</v>
      </c>
      <c r="F327" s="19" t="str">
        <f>IFERROR(__xludf.DUMMYFUNCTION("""COMPUTED_VALUE"""),"VISITA")</f>
        <v>VISITA</v>
      </c>
      <c r="G327" s="19" t="str">
        <f>IFERROR(__xludf.DUMMYFUNCTION("""COMPUTED_VALUE"""),"CV60")</f>
        <v>CV60</v>
      </c>
      <c r="H327" s="19" t="str">
        <f>IFERROR(__xludf.DUMMYFUNCTION("""COMPUTED_VALUE"""),"DEPROMET")</f>
        <v>DEPROMET</v>
      </c>
      <c r="I327" s="19" t="str">
        <f>IFERROR(__xludf.DUMMYFUNCTION("""COMPUTED_VALUE"""),"Entregada")</f>
        <v>Entregada</v>
      </c>
      <c r="J327" s="20">
        <f>IFERROR(__xludf.DUMMYFUNCTION("""COMPUTED_VALUE"""),45001.0)</f>
        <v>45001</v>
      </c>
      <c r="K327" s="19" t="str">
        <f>IFERROR(__xludf.DUMMYFUNCTION("""COMPUTED_VALUE"""),"Entregada")</f>
        <v>Entregada</v>
      </c>
      <c r="L327" s="20">
        <f>IFERROR(__xludf.DUMMYFUNCTION("""COMPUTED_VALUE"""),45014.0)</f>
        <v>45014</v>
      </c>
      <c r="M327" s="19" t="str">
        <f>IFERROR(__xludf.DUMMYFUNCTION("""COMPUTED_VALUE"""),"LLOO")</f>
        <v>LLOO</v>
      </c>
      <c r="N327" s="19" t="str">
        <f>IFERROR(__xludf.DUMMYFUNCTION("""COMPUTED_VALUE"""),"PRIORIDAD 1 Q3 2023 OCTUBRE")</f>
        <v>PRIORIDAD 1 Q3 2023 OCTUBRE</v>
      </c>
    </row>
    <row r="328" ht="15.75" customHeight="1">
      <c r="A328" s="19" t="str">
        <f>IFERROR(__xludf.DUMMYFUNCTION("""COMPUTED_VALUE"""),"AB_9779")</f>
        <v>AB_9779</v>
      </c>
      <c r="B328" s="19" t="str">
        <f>IFERROR(__xludf.DUMMYFUNCTION("""COMPUTED_VALUE"""),"AB_9779_A")</f>
        <v>AB_9779_A</v>
      </c>
      <c r="C328" s="19" t="str">
        <f>IFERROR(__xludf.DUMMYFUNCTION("""COMPUTED_VALUE"""),"BI9779")</f>
        <v>BI9779</v>
      </c>
      <c r="D328" s="19" t="str">
        <f>IFERROR(__xludf.DUMMYFUNCTION("""COMPUTED_VALUE"""),"Trapa Trapa")</f>
        <v>Trapa Trapa</v>
      </c>
      <c r="E328" s="19" t="str">
        <f>IFERROR(__xludf.DUMMYFUNCTION("""COMPUTED_VALUE"""),"SITIO EN CONSTRUCCION")</f>
        <v>SITIO EN CONSTRUCCION</v>
      </c>
      <c r="F328" s="19" t="str">
        <f>IFERROR(__xludf.DUMMYFUNCTION("""COMPUTED_VALUE"""),"VISITA")</f>
        <v>VISITA</v>
      </c>
      <c r="G328" s="19" t="str">
        <f>IFERROR(__xludf.DUMMYFUNCTION("""COMPUTED_VALUE"""),"CV60")</f>
        <v>CV60</v>
      </c>
      <c r="H328" s="19" t="str">
        <f>IFERROR(__xludf.DUMMYFUNCTION("""COMPUTED_VALUE"""),"DEPROMET")</f>
        <v>DEPROMET</v>
      </c>
      <c r="I328" s="19" t="str">
        <f>IFERROR(__xludf.DUMMYFUNCTION("""COMPUTED_VALUE"""),"Entregada")</f>
        <v>Entregada</v>
      </c>
      <c r="J328" s="20">
        <f>IFERROR(__xludf.DUMMYFUNCTION("""COMPUTED_VALUE"""),44893.0)</f>
        <v>44893</v>
      </c>
      <c r="K328" s="19" t="str">
        <f>IFERROR(__xludf.DUMMYFUNCTION("""COMPUTED_VALUE"""),"Entregada")</f>
        <v>Entregada</v>
      </c>
      <c r="L328" s="20">
        <f>IFERROR(__xludf.DUMMYFUNCTION("""COMPUTED_VALUE"""),44911.0)</f>
        <v>44911</v>
      </c>
      <c r="M328" s="19" t="str">
        <f>IFERROR(__xludf.DUMMYFUNCTION("""COMPUTED_VALUE"""),"LLOO")</f>
        <v>LLOO</v>
      </c>
      <c r="N328" s="19" t="str">
        <f>IFERROR(__xludf.DUMMYFUNCTION("""COMPUTED_VALUE"""),"PRIORIDAD 1 Q3 2023 OCTUBRE")</f>
        <v>PRIORIDAD 1 Q3 2023 OCTUBRE</v>
      </c>
    </row>
    <row r="329" ht="15.75" customHeight="1">
      <c r="A329" s="19" t="str">
        <f>IFERROR(__xludf.DUMMYFUNCTION("""COMPUTED_VALUE"""),"AB_9802")</f>
        <v>AB_9802</v>
      </c>
      <c r="B329" s="19" t="str">
        <f>IFERROR(__xludf.DUMMYFUNCTION("""COMPUTED_VALUE"""),"AB_9802_A")</f>
        <v>AB_9802_A</v>
      </c>
      <c r="C329" s="19" t="str">
        <f>IFERROR(__xludf.DUMMYFUNCTION("""COMPUTED_VALUE"""),"BI9802")</f>
        <v>BI9802</v>
      </c>
      <c r="D329" s="19" t="str">
        <f>IFERROR(__xludf.DUMMYFUNCTION("""COMPUTED_VALUE"""),"Estero Agua Cascada Lota")</f>
        <v>Estero Agua Cascada Lota</v>
      </c>
      <c r="E329" s="19" t="str">
        <f>IFERROR(__xludf.DUMMYFUNCTION("""COMPUTED_VALUE"""),"SITIO PENDIENTE")</f>
        <v>SITIO PENDIENTE</v>
      </c>
      <c r="F329" s="19"/>
      <c r="G329" s="19" t="str">
        <f>IFERROR(__xludf.DUMMYFUNCTION("""COMPUTED_VALUE"""),"AS72")</f>
        <v>AS72</v>
      </c>
      <c r="H329" s="19" t="str">
        <f>IFERROR(__xludf.DUMMYFUNCTION("""COMPUTED_VALUE"""),"COMPRAS")</f>
        <v>COMPRAS</v>
      </c>
      <c r="I329" s="19"/>
      <c r="J329" s="19"/>
      <c r="K329" s="19"/>
      <c r="L329" s="19"/>
      <c r="M329" s="19" t="str">
        <f>IFERROR(__xludf.DUMMYFUNCTION("""COMPUTED_VALUE"""),"PCM")</f>
        <v>PCM</v>
      </c>
      <c r="N329" s="19" t="str">
        <f>IFERROR(__xludf.DUMMYFUNCTION("""COMPUTED_VALUE"""),"PRIORIDAD 3 Q1 2024 MARZO")</f>
        <v>PRIORIDAD 3 Q1 2024 MARZO</v>
      </c>
    </row>
    <row r="330" ht="15.75" customHeight="1">
      <c r="A330" s="19" t="str">
        <f>IFERROR(__xludf.DUMMYFUNCTION("""COMPUTED_VALUE"""),"AB_9814")</f>
        <v>AB_9814</v>
      </c>
      <c r="B330" s="19" t="str">
        <f>IFERROR(__xludf.DUMMYFUNCTION("""COMPUTED_VALUE"""),"AB_9814_J")</f>
        <v>AB_9814_J</v>
      </c>
      <c r="C330" s="19" t="str">
        <f>IFERROR(__xludf.DUMMYFUNCTION("""COMPUTED_VALUE"""),"BI9814")</f>
        <v>BI9814</v>
      </c>
      <c r="D330" s="19" t="str">
        <f>IFERROR(__xludf.DUMMYFUNCTION("""COMPUTED_VALUE"""),"Mirador Pedro Aguirre Cerda")</f>
        <v>Mirador Pedro Aguirre Cerda</v>
      </c>
      <c r="E330" s="19" t="str">
        <f>IFERROR(__xludf.DUMMYFUNCTION("""COMPUTED_VALUE"""),"SITIO PENDIENTE")</f>
        <v>SITIO PENDIENTE</v>
      </c>
      <c r="F330" s="19"/>
      <c r="G330" s="19" t="str">
        <f>IFERROR(__xludf.DUMMYFUNCTION("""COMPUTED_VALUE"""),"MP R40")</f>
        <v>MP R40</v>
      </c>
      <c r="H330" s="19" t="str">
        <f>IFERROR(__xludf.DUMMYFUNCTION("""COMPUTED_VALUE"""),"MER")</f>
        <v>MER</v>
      </c>
      <c r="I330" s="19" t="str">
        <f>IFERROR(__xludf.DUMMYFUNCTION("""COMPUTED_VALUE"""),"Terminada")</f>
        <v>Terminada</v>
      </c>
      <c r="J330" s="20">
        <f>IFERROR(__xludf.DUMMYFUNCTION("""COMPUTED_VALUE"""),44729.0)</f>
        <v>44729</v>
      </c>
      <c r="K330" s="19" t="str">
        <f>IFERROR(__xludf.DUMMYFUNCTION("""COMPUTED_VALUE"""),"Por pintar ")</f>
        <v>Por pintar </v>
      </c>
      <c r="L330" s="20">
        <f>IFERROR(__xludf.DUMMYFUNCTION("""COMPUTED_VALUE"""),44736.0)</f>
        <v>44736</v>
      </c>
      <c r="M330" s="19" t="str">
        <f>IFERROR(__xludf.DUMMYFUNCTION("""COMPUTED_VALUE"""),"PCM")</f>
        <v>PCM</v>
      </c>
      <c r="N330" s="19" t="str">
        <f>IFERROR(__xludf.DUMMYFUNCTION("""COMPUTED_VALUE"""),"PRIORIDAD 3 Q1 2024 MARZO")</f>
        <v>PRIORIDAD 3 Q1 2024 MARZO</v>
      </c>
    </row>
    <row r="331" ht="15.75" customHeight="1">
      <c r="A331" s="19" t="str">
        <f>IFERROR(__xludf.DUMMYFUNCTION("""COMPUTED_VALUE"""),"AB_9815")</f>
        <v>AB_9815</v>
      </c>
      <c r="B331" s="19" t="str">
        <f>IFERROR(__xludf.DUMMYFUNCTION("""COMPUTED_VALUE"""),"AB_9815_A")</f>
        <v>AB_9815_A</v>
      </c>
      <c r="C331" s="19" t="str">
        <f>IFERROR(__xludf.DUMMYFUNCTION("""COMPUTED_VALUE"""),"BI9815")</f>
        <v>BI9815</v>
      </c>
      <c r="D331" s="19" t="str">
        <f>IFERROR(__xludf.DUMMYFUNCTION("""COMPUTED_VALUE"""),"Buenuraqui San Rosendo")</f>
        <v>Buenuraqui San Rosendo</v>
      </c>
      <c r="E331" s="19" t="str">
        <f>IFERROR(__xludf.DUMMYFUNCTION("""COMPUTED_VALUE"""),"SITIO RFI")</f>
        <v>SITIO RFI</v>
      </c>
      <c r="F331" s="19" t="str">
        <f>IFERROR(__xludf.DUMMYFUNCTION("""COMPUTED_VALUE"""),"RFI")</f>
        <v>RFI</v>
      </c>
      <c r="G331" s="19" t="str">
        <f>IFERROR(__xludf.DUMMYFUNCTION("""COMPUTED_VALUE"""),"AS54")</f>
        <v>AS54</v>
      </c>
      <c r="H331" s="19" t="str">
        <f>IFERROR(__xludf.DUMMYFUNCTION("""COMPUTED_VALUE"""),"AJ")</f>
        <v>AJ</v>
      </c>
      <c r="I331" s="19" t="str">
        <f>IFERROR(__xludf.DUMMYFUNCTION("""COMPUTED_VALUE"""),"Entregada")</f>
        <v>Entregada</v>
      </c>
      <c r="J331" s="20">
        <f>IFERROR(__xludf.DUMMYFUNCTION("""COMPUTED_VALUE"""),44636.0)</f>
        <v>44636</v>
      </c>
      <c r="K331" s="19" t="str">
        <f>IFERROR(__xludf.DUMMYFUNCTION("""COMPUTED_VALUE"""),"Entregada")</f>
        <v>Entregada</v>
      </c>
      <c r="L331" s="20">
        <f>IFERROR(__xludf.DUMMYFUNCTION("""COMPUTED_VALUE"""),44669.0)</f>
        <v>44669</v>
      </c>
      <c r="M331" s="19" t="str">
        <f>IFERROR(__xludf.DUMMYFUNCTION("""COMPUTED_VALUE"""),"PCM")</f>
        <v>PCM</v>
      </c>
      <c r="N331" s="19" t="str">
        <f>IFERROR(__xludf.DUMMYFUNCTION("""COMPUTED_VALUE"""),"PRIORIDAD 1 Q3 2023 OCTUBRE")</f>
        <v>PRIORIDAD 1 Q3 2023 OCTUBRE</v>
      </c>
    </row>
    <row r="332" ht="15.75" customHeight="1">
      <c r="A332" s="19" t="str">
        <f>IFERROR(__xludf.DUMMYFUNCTION("""COMPUTED_VALUE"""),"AB_10079")</f>
        <v>AB_10079</v>
      </c>
      <c r="B332" s="19" t="str">
        <f>IFERROR(__xludf.DUMMYFUNCTION("""COMPUTED_VALUE"""),"AB_10079_A")</f>
        <v>AB_10079_A</v>
      </c>
      <c r="C332" s="19" t="str">
        <f>IFERROR(__xludf.DUMMYFUNCTION("""COMPUTED_VALUE"""),"CO10079")</f>
        <v>CO10079</v>
      </c>
      <c r="D332" s="19" t="str">
        <f>IFERROR(__xludf.DUMMYFUNCTION("""COMPUTED_VALUE"""),"Varillar Ruta 41")</f>
        <v>Varillar Ruta 41</v>
      </c>
      <c r="E332" s="19" t="str">
        <f>IFERROR(__xludf.DUMMYFUNCTION("""COMPUTED_VALUE"""),"SITIO RFI")</f>
        <v>SITIO RFI</v>
      </c>
      <c r="F332" s="19" t="str">
        <f>IFERROR(__xludf.DUMMYFUNCTION("""COMPUTED_VALUE"""),"RFI")</f>
        <v>RFI</v>
      </c>
      <c r="G332" s="19" t="str">
        <f>IFERROR(__xludf.DUMMYFUNCTION("""COMPUTED_VALUE"""),"CV36")</f>
        <v>CV36</v>
      </c>
      <c r="H332" s="19" t="str">
        <f>IFERROR(__xludf.DUMMYFUNCTION("""COMPUTED_VALUE"""),"AJ")</f>
        <v>AJ</v>
      </c>
      <c r="I332" s="19" t="str">
        <f>IFERROR(__xludf.DUMMYFUNCTION("""COMPUTED_VALUE"""),"Entregada")</f>
        <v>Entregada</v>
      </c>
      <c r="J332" s="20">
        <f>IFERROR(__xludf.DUMMYFUNCTION("""COMPUTED_VALUE"""),44697.0)</f>
        <v>44697</v>
      </c>
      <c r="K332" s="19" t="str">
        <f>IFERROR(__xludf.DUMMYFUNCTION("""COMPUTED_VALUE"""),"Entregada")</f>
        <v>Entregada</v>
      </c>
      <c r="L332" s="20">
        <f>IFERROR(__xludf.DUMMYFUNCTION("""COMPUTED_VALUE"""),44874.0)</f>
        <v>44874</v>
      </c>
      <c r="M332" s="19" t="str">
        <f>IFERROR(__xludf.DUMMYFUNCTION("""COMPUTED_VALUE"""),"PP")</f>
        <v>PP</v>
      </c>
      <c r="N332" s="19" t="str">
        <f>IFERROR(__xludf.DUMMYFUNCTION("""COMPUTED_VALUE"""),"PRIORIDAD 1 Q3 2023 OCTUBRE")</f>
        <v>PRIORIDAD 1 Q3 2023 OCTUBRE</v>
      </c>
    </row>
    <row r="333" ht="15.75" customHeight="1">
      <c r="A333" s="19" t="str">
        <f>IFERROR(__xludf.DUMMYFUNCTION("""COMPUTED_VALUE"""),"AB_10080")</f>
        <v>AB_10080</v>
      </c>
      <c r="B333" s="19" t="str">
        <f>IFERROR(__xludf.DUMMYFUNCTION("""COMPUTED_VALUE"""),"AB_10080_D")</f>
        <v>AB_10080_D</v>
      </c>
      <c r="C333" s="19" t="str">
        <f>IFERROR(__xludf.DUMMYFUNCTION("""COMPUTED_VALUE"""),"CO10080")</f>
        <v>CO10080</v>
      </c>
      <c r="D333" s="19" t="str">
        <f>IFERROR(__xludf.DUMMYFUNCTION("""COMPUTED_VALUE"""),"Ruta 41 Juntas del Toro")</f>
        <v>Ruta 41 Juntas del Toro</v>
      </c>
      <c r="E333" s="19" t="str">
        <f>IFERROR(__xludf.DUMMYFUNCTION("""COMPUTED_VALUE"""),"SITIO EN CONSTRUCCION")</f>
        <v>SITIO EN CONSTRUCCION</v>
      </c>
      <c r="F333" s="19" t="str">
        <f>IFERROR(__xludf.DUMMYFUNCTION("""COMPUTED_VALUE"""),"VISITA")</f>
        <v>VISITA</v>
      </c>
      <c r="G333" s="19" t="str">
        <f>IFERROR(__xludf.DUMMYFUNCTION("""COMPUTED_VALUE"""),"CV48")</f>
        <v>CV48</v>
      </c>
      <c r="H333" s="19" t="str">
        <f>IFERROR(__xludf.DUMMYFUNCTION("""COMPUTED_VALUE"""),"INCOSERV")</f>
        <v>INCOSERV</v>
      </c>
      <c r="I333" s="19" t="str">
        <f>IFERROR(__xludf.DUMMYFUNCTION("""COMPUTED_VALUE"""),"Terminada")</f>
        <v>Terminada</v>
      </c>
      <c r="J333" s="20">
        <f>IFERROR(__xludf.DUMMYFUNCTION("""COMPUTED_VALUE"""),45034.0)</f>
        <v>45034</v>
      </c>
      <c r="K333" s="19" t="str">
        <f>IFERROR(__xludf.DUMMYFUNCTION("""COMPUTED_VALUE"""),"Por pintar ")</f>
        <v>Por pintar </v>
      </c>
      <c r="L333" s="20">
        <f>IFERROR(__xludf.DUMMYFUNCTION("""COMPUTED_VALUE"""),45093.0)</f>
        <v>45093</v>
      </c>
      <c r="M333" s="19" t="str">
        <f>IFERROR(__xludf.DUMMYFUNCTION("""COMPUTED_VALUE"""),"PP")</f>
        <v>PP</v>
      </c>
      <c r="N333" s="19" t="str">
        <f>IFERROR(__xludf.DUMMYFUNCTION("""COMPUTED_VALUE"""),"PRIORIDAD 1 Q3 2023 OCTUBRE")</f>
        <v>PRIORIDAD 1 Q3 2023 OCTUBRE</v>
      </c>
    </row>
    <row r="334" ht="15.75" customHeight="1">
      <c r="A334" s="19" t="str">
        <f>IFERROR(__xludf.DUMMYFUNCTION("""COMPUTED_VALUE"""),"AB_10081")</f>
        <v>AB_10081</v>
      </c>
      <c r="B334" s="19" t="str">
        <f>IFERROR(__xludf.DUMMYFUNCTION("""COMPUTED_VALUE"""),"AB_10081_A")</f>
        <v>AB_10081_A</v>
      </c>
      <c r="C334" s="19" t="str">
        <f>IFERROR(__xludf.DUMMYFUNCTION("""COMPUTED_VALUE"""),"CO10081")</f>
        <v>CO10081</v>
      </c>
      <c r="D334" s="19" t="str">
        <f>IFERROR(__xludf.DUMMYFUNCTION("""COMPUTED_VALUE"""),"Nueva Elqui Ruta 41")</f>
        <v>Nueva Elqui Ruta 41</v>
      </c>
      <c r="E334" s="19" t="str">
        <f>IFERROR(__xludf.DUMMYFUNCTION("""COMPUTED_VALUE"""),"SITIO ASIGNADO")</f>
        <v>SITIO ASIGNADO</v>
      </c>
      <c r="F334" s="19"/>
      <c r="G334" s="19" t="str">
        <f>IFERROR(__xludf.DUMMYFUNCTION("""COMPUTED_VALUE"""),"CV48")</f>
        <v>CV48</v>
      </c>
      <c r="H334" s="19" t="str">
        <f>IFERROR(__xludf.DUMMYFUNCTION("""COMPUTED_VALUE"""),"INCOSERV")</f>
        <v>INCOSERV</v>
      </c>
      <c r="I334" s="19" t="str">
        <f>IFERROR(__xludf.DUMMYFUNCTION("""COMPUTED_VALUE"""),"Terminada")</f>
        <v>Terminada</v>
      </c>
      <c r="J334" s="20">
        <f>IFERROR(__xludf.DUMMYFUNCTION("""COMPUTED_VALUE"""),45034.0)</f>
        <v>45034</v>
      </c>
      <c r="K334" s="19" t="str">
        <f>IFERROR(__xludf.DUMMYFUNCTION("""COMPUTED_VALUE"""),"Por pintar ")</f>
        <v>Por pintar </v>
      </c>
      <c r="L334" s="20">
        <f>IFERROR(__xludf.DUMMYFUNCTION("""COMPUTED_VALUE"""),45107.0)</f>
        <v>45107</v>
      </c>
      <c r="M334" s="19" t="str">
        <f>IFERROR(__xludf.DUMMYFUNCTION("""COMPUTED_VALUE"""),"PP")</f>
        <v>PP</v>
      </c>
      <c r="N334" s="19" t="str">
        <f>IFERROR(__xludf.DUMMYFUNCTION("""COMPUTED_VALUE"""),"PRIORIDAD 1 Q3 2023 OCTUBRE")</f>
        <v>PRIORIDAD 1 Q3 2023 OCTUBRE</v>
      </c>
    </row>
    <row r="335" ht="15.75" customHeight="1">
      <c r="A335" s="19" t="str">
        <f>IFERROR(__xludf.DUMMYFUNCTION("""COMPUTED_VALUE"""),"AB_10082")</f>
        <v>AB_10082</v>
      </c>
      <c r="B335" s="19" t="str">
        <f>IFERROR(__xludf.DUMMYFUNCTION("""COMPUTED_VALUE"""),"AB_10082_A")</f>
        <v>AB_10082_A</v>
      </c>
      <c r="C335" s="19" t="str">
        <f>IFERROR(__xludf.DUMMYFUNCTION("""COMPUTED_VALUE"""),"CO10082")</f>
        <v>CO10082</v>
      </c>
      <c r="D335" s="19" t="str">
        <f>IFERROR(__xludf.DUMMYFUNCTION("""COMPUTED_VALUE"""),"Embalse la Laguna")</f>
        <v>Embalse la Laguna</v>
      </c>
      <c r="E335" s="19" t="str">
        <f>IFERROR(__xludf.DUMMYFUNCTION("""COMPUTED_VALUE"""),"SITIO ASIGNADO")</f>
        <v>SITIO ASIGNADO</v>
      </c>
      <c r="F335" s="19" t="str">
        <f>IFERROR(__xludf.DUMMYFUNCTION("""COMPUTED_VALUE"""),"VISITA")</f>
        <v>VISITA</v>
      </c>
      <c r="G335" s="19" t="str">
        <f>IFERROR(__xludf.DUMMYFUNCTION("""COMPUTED_VALUE"""),"CV60")</f>
        <v>CV60</v>
      </c>
      <c r="H335" s="19" t="str">
        <f>IFERROR(__xludf.DUMMYFUNCTION("""COMPUTED_VALUE"""),"DEPROMET")</f>
        <v>DEPROMET</v>
      </c>
      <c r="I335" s="19" t="str">
        <f>IFERROR(__xludf.DUMMYFUNCTION("""COMPUTED_VALUE"""),"Terminada")</f>
        <v>Terminada</v>
      </c>
      <c r="J335" s="20">
        <f>IFERROR(__xludf.DUMMYFUNCTION("""COMPUTED_VALUE"""),45001.0)</f>
        <v>45001</v>
      </c>
      <c r="K335" s="19" t="str">
        <f>IFERROR(__xludf.DUMMYFUNCTION("""COMPUTED_VALUE"""),"Terminada")</f>
        <v>Terminada</v>
      </c>
      <c r="L335" s="20">
        <f>IFERROR(__xludf.DUMMYFUNCTION("""COMPUTED_VALUE"""),45001.0)</f>
        <v>45001</v>
      </c>
      <c r="M335" s="19" t="str">
        <f>IFERROR(__xludf.DUMMYFUNCTION("""COMPUTED_VALUE"""),"PP")</f>
        <v>PP</v>
      </c>
      <c r="N335" s="19" t="str">
        <f>IFERROR(__xludf.DUMMYFUNCTION("""COMPUTED_VALUE"""),"PRIORIDAD 1 Q3 2023 OCTUBRE")</f>
        <v>PRIORIDAD 1 Q3 2023 OCTUBRE</v>
      </c>
    </row>
    <row r="336" ht="15.75" customHeight="1">
      <c r="A336" s="19" t="str">
        <f>IFERROR(__xludf.DUMMYFUNCTION("""COMPUTED_VALUE"""),"AB_10083")</f>
        <v>AB_10083</v>
      </c>
      <c r="B336" s="19" t="str">
        <f>IFERROR(__xludf.DUMMYFUNCTION("""COMPUTED_VALUE"""),"AB_10083_A")</f>
        <v>AB_10083_A</v>
      </c>
      <c r="C336" s="19" t="str">
        <f>IFERROR(__xludf.DUMMYFUNCTION("""COMPUTED_VALUE"""),"CO10083")</f>
        <v>CO10083</v>
      </c>
      <c r="D336" s="19" t="str">
        <f>IFERROR(__xludf.DUMMYFUNCTION("""COMPUTED_VALUE"""),"Ruta 41 Cerro Sur")</f>
        <v>Ruta 41 Cerro Sur</v>
      </c>
      <c r="E336" s="19" t="str">
        <f>IFERROR(__xludf.DUMMYFUNCTION("""COMPUTED_VALUE"""),"SITIO ASIGNADO")</f>
        <v>SITIO ASIGNADO</v>
      </c>
      <c r="F336" s="19"/>
      <c r="G336" s="19" t="str">
        <f>IFERROR(__xludf.DUMMYFUNCTION("""COMPUTED_VALUE"""),"CV42")</f>
        <v>CV42</v>
      </c>
      <c r="H336" s="19" t="str">
        <f>IFERROR(__xludf.DUMMYFUNCTION("""COMPUTED_VALUE"""),"INCOSERV")</f>
        <v>INCOSERV</v>
      </c>
      <c r="I336" s="19" t="str">
        <f>IFERROR(__xludf.DUMMYFUNCTION("""COMPUTED_VALUE"""),"Terminada")</f>
        <v>Terminada</v>
      </c>
      <c r="J336" s="20">
        <f>IFERROR(__xludf.DUMMYFUNCTION("""COMPUTED_VALUE"""),45034.0)</f>
        <v>45034</v>
      </c>
      <c r="K336" s="19" t="str">
        <f>IFERROR(__xludf.DUMMYFUNCTION("""COMPUTED_VALUE"""),"Por pintar ")</f>
        <v>Por pintar </v>
      </c>
      <c r="L336" s="20">
        <f>IFERROR(__xludf.DUMMYFUNCTION("""COMPUTED_VALUE"""),45066.0)</f>
        <v>45066</v>
      </c>
      <c r="M336" s="19" t="str">
        <f>IFERROR(__xludf.DUMMYFUNCTION("""COMPUTED_VALUE"""),"PP")</f>
        <v>PP</v>
      </c>
      <c r="N336" s="19" t="str">
        <f>IFERROR(__xludf.DUMMYFUNCTION("""COMPUTED_VALUE"""),"PRIORIDAD 1 Q3 2023 OCTUBRE")</f>
        <v>PRIORIDAD 1 Q3 2023 OCTUBRE</v>
      </c>
    </row>
    <row r="337" ht="15.75" customHeight="1">
      <c r="A337" s="19" t="str">
        <f>IFERROR(__xludf.DUMMYFUNCTION("""COMPUTED_VALUE"""),"AB_10084")</f>
        <v>AB_10084</v>
      </c>
      <c r="B337" s="19" t="str">
        <f>IFERROR(__xludf.DUMMYFUNCTION("""COMPUTED_VALUE"""),"AB_10084_F")</f>
        <v>AB_10084_F</v>
      </c>
      <c r="C337" s="19" t="str">
        <f>IFERROR(__xludf.DUMMYFUNCTION("""COMPUTED_VALUE"""),"CO10084")</f>
        <v>CO10084</v>
      </c>
      <c r="D337" s="19" t="str">
        <f>IFERROR(__xludf.DUMMYFUNCTION("""COMPUTED_VALUE"""),"Huanta Ruta 41")</f>
        <v>Huanta Ruta 41</v>
      </c>
      <c r="E337" s="19" t="str">
        <f>IFERROR(__xludf.DUMMYFUNCTION("""COMPUTED_VALUE"""),"EN VALIDACION COMPRAS")</f>
        <v>EN VALIDACION COMPRAS</v>
      </c>
      <c r="F337" s="19"/>
      <c r="G337" s="19" t="str">
        <f>IFERROR(__xludf.DUMMYFUNCTION("""COMPUTED_VALUE"""),"CV60")</f>
        <v>CV60</v>
      </c>
      <c r="H337" s="19" t="str">
        <f>IFERROR(__xludf.DUMMYFUNCTION("""COMPUTED_VALUE"""),"AJ")</f>
        <v>AJ</v>
      </c>
      <c r="I337" s="19" t="str">
        <f>IFERROR(__xludf.DUMMYFUNCTION("""COMPUTED_VALUE"""),"Terminada")</f>
        <v>Terminada</v>
      </c>
      <c r="J337" s="20">
        <f>IFERROR(__xludf.DUMMYFUNCTION("""COMPUTED_VALUE"""),44732.0)</f>
        <v>44732</v>
      </c>
      <c r="K337" s="19" t="str">
        <f>IFERROR(__xludf.DUMMYFUNCTION("""COMPUTED_VALUE"""),"Por pintar ")</f>
        <v>Por pintar </v>
      </c>
      <c r="L337" s="20">
        <f>IFERROR(__xludf.DUMMYFUNCTION("""COMPUTED_VALUE"""),44879.0)</f>
        <v>44879</v>
      </c>
      <c r="M337" s="19" t="str">
        <f>IFERROR(__xludf.DUMMYFUNCTION("""COMPUTED_VALUE"""),"PP")</f>
        <v>PP</v>
      </c>
      <c r="N337" s="19" t="str">
        <f>IFERROR(__xludf.DUMMYFUNCTION("""COMPUTED_VALUE"""),"PRIORIDAD 1 Q3 2023 OCTUBRE")</f>
        <v>PRIORIDAD 1 Q3 2023 OCTUBRE</v>
      </c>
    </row>
    <row r="338" ht="15.75" customHeight="1">
      <c r="A338" s="19" t="str">
        <f>IFERROR(__xludf.DUMMYFUNCTION("""COMPUTED_VALUE"""),"AB_10085")</f>
        <v>AB_10085</v>
      </c>
      <c r="B338" s="19" t="str">
        <f>IFERROR(__xludf.DUMMYFUNCTION("""COMPUTED_VALUE"""),"AB_10085_A")</f>
        <v>AB_10085_A</v>
      </c>
      <c r="C338" s="19" t="str">
        <f>IFERROR(__xludf.DUMMYFUNCTION("""COMPUTED_VALUE"""),"CO10085")</f>
        <v>CO10085</v>
      </c>
      <c r="D338" s="19" t="str">
        <f>IFERROR(__xludf.DUMMYFUNCTION("""COMPUTED_VALUE"""),"Embalse la Laguna Acceso Norte")</f>
        <v>Embalse la Laguna Acceso Norte</v>
      </c>
      <c r="E338" s="19" t="str">
        <f>IFERROR(__xludf.DUMMYFUNCTION("""COMPUTED_VALUE"""),"SITIO ASIGNADO")</f>
        <v>SITIO ASIGNADO</v>
      </c>
      <c r="F338" s="19"/>
      <c r="G338" s="19" t="str">
        <f>IFERROR(__xludf.DUMMYFUNCTION("""COMPUTED_VALUE"""),"CV60")</f>
        <v>CV60</v>
      </c>
      <c r="H338" s="19" t="str">
        <f>IFERROR(__xludf.DUMMYFUNCTION("""COMPUTED_VALUE"""),"INCOSERV")</f>
        <v>INCOSERV</v>
      </c>
      <c r="I338" s="19" t="str">
        <f>IFERROR(__xludf.DUMMYFUNCTION("""COMPUTED_VALUE"""),"Terminada")</f>
        <v>Terminada</v>
      </c>
      <c r="J338" s="20">
        <f>IFERROR(__xludf.DUMMYFUNCTION("""COMPUTED_VALUE"""),45034.0)</f>
        <v>45034</v>
      </c>
      <c r="K338" s="19" t="str">
        <f>IFERROR(__xludf.DUMMYFUNCTION("""COMPUTED_VALUE"""),"Por pintar ")</f>
        <v>Por pintar </v>
      </c>
      <c r="L338" s="20">
        <f>IFERROR(__xludf.DUMMYFUNCTION("""COMPUTED_VALUE"""),45100.0)</f>
        <v>45100</v>
      </c>
      <c r="M338" s="19" t="str">
        <f>IFERROR(__xludf.DUMMYFUNCTION("""COMPUTED_VALUE"""),"PP")</f>
        <v>PP</v>
      </c>
      <c r="N338" s="19" t="str">
        <f>IFERROR(__xludf.DUMMYFUNCTION("""COMPUTED_VALUE"""),"PRIORIDAD 1 Q3 2023 OCTUBRE")</f>
        <v>PRIORIDAD 1 Q3 2023 OCTUBRE</v>
      </c>
    </row>
    <row r="339" ht="15.75" customHeight="1">
      <c r="A339" s="19" t="str">
        <f>IFERROR(__xludf.DUMMYFUNCTION("""COMPUTED_VALUE"""),"AB_10086")</f>
        <v>AB_10086</v>
      </c>
      <c r="B339" s="19" t="str">
        <f>IFERROR(__xludf.DUMMYFUNCTION("""COMPUTED_VALUE"""),"AB_10086_A")</f>
        <v>AB_10086_A</v>
      </c>
      <c r="C339" s="19" t="str">
        <f>IFERROR(__xludf.DUMMYFUNCTION("""COMPUTED_VALUE"""),"CO10086")</f>
        <v>CO10086</v>
      </c>
      <c r="D339" s="19" t="str">
        <f>IFERROR(__xludf.DUMMYFUNCTION("""COMPUTED_VALUE"""),"Punet Balala Ruta 41")</f>
        <v>Punet Balala Ruta 41</v>
      </c>
      <c r="E339" s="19" t="str">
        <f>IFERROR(__xludf.DUMMYFUNCTION("""COMPUTED_VALUE"""),"EN VALIDACION COMPRAS")</f>
        <v>EN VALIDACION COMPRAS</v>
      </c>
      <c r="F339" s="19"/>
      <c r="G339" s="19" t="str">
        <f>IFERROR(__xludf.DUMMYFUNCTION("""COMPUTED_VALUE"""),"CV42")</f>
        <v>CV42</v>
      </c>
      <c r="H339" s="19" t="str">
        <f>IFERROR(__xludf.DUMMYFUNCTION("""COMPUTED_VALUE"""),"INGENIUS")</f>
        <v>INGENIUS</v>
      </c>
      <c r="I339" s="19" t="str">
        <f>IFERROR(__xludf.DUMMYFUNCTION("""COMPUTED_VALUE"""),"Terminada")</f>
        <v>Terminada</v>
      </c>
      <c r="J339" s="20">
        <f>IFERROR(__xludf.DUMMYFUNCTION("""COMPUTED_VALUE"""),45042.0)</f>
        <v>45042</v>
      </c>
      <c r="K339" s="19" t="str">
        <f>IFERROR(__xludf.DUMMYFUNCTION("""COMPUTED_VALUE"""),"En fabricacion")</f>
        <v>En fabricacion</v>
      </c>
      <c r="L339" s="20">
        <f>IFERROR(__xludf.DUMMYFUNCTION("""COMPUTED_VALUE"""),45124.0)</f>
        <v>45124</v>
      </c>
      <c r="M339" s="19" t="str">
        <f>IFERROR(__xludf.DUMMYFUNCTION("""COMPUTED_VALUE"""),"PP")</f>
        <v>PP</v>
      </c>
      <c r="N339" s="19" t="str">
        <f>IFERROR(__xludf.DUMMYFUNCTION("""COMPUTED_VALUE"""),"PRIORIDAD 1 Q3 2023 OCTUBRE")</f>
        <v>PRIORIDAD 1 Q3 2023 OCTUBRE</v>
      </c>
    </row>
    <row r="340" ht="15.75" customHeight="1">
      <c r="A340" s="19" t="str">
        <f>IFERROR(__xludf.DUMMYFUNCTION("""COMPUTED_VALUE"""),"AB_10087")</f>
        <v>AB_10087</v>
      </c>
      <c r="B340" s="19" t="str">
        <f>IFERROR(__xludf.DUMMYFUNCTION("""COMPUTED_VALUE"""),"AB_10087_C")</f>
        <v>AB_10087_C</v>
      </c>
      <c r="C340" s="19" t="str">
        <f>IFERROR(__xludf.DUMMYFUNCTION("""COMPUTED_VALUE"""),"CO10087")</f>
        <v>CO10087</v>
      </c>
      <c r="D340" s="19" t="str">
        <f>IFERROR(__xludf.DUMMYFUNCTION("""COMPUTED_VALUE"""),"Cerro Ruta 41 Sur Oriente")</f>
        <v>Cerro Ruta 41 Sur Oriente</v>
      </c>
      <c r="E340" s="19" t="str">
        <f>IFERROR(__xludf.DUMMYFUNCTION("""COMPUTED_VALUE"""),"SITIO EN CONSTRUCCION")</f>
        <v>SITIO EN CONSTRUCCION</v>
      </c>
      <c r="F340" s="19" t="str">
        <f>IFERROR(__xludf.DUMMYFUNCTION("""COMPUTED_VALUE"""),"VISITA")</f>
        <v>VISITA</v>
      </c>
      <c r="G340" s="19" t="str">
        <f>IFERROR(__xludf.DUMMYFUNCTION("""COMPUTED_VALUE"""),"CV48")</f>
        <v>CV48</v>
      </c>
      <c r="H340" s="19" t="str">
        <f>IFERROR(__xludf.DUMMYFUNCTION("""COMPUTED_VALUE"""),"INCOSERV")</f>
        <v>INCOSERV</v>
      </c>
      <c r="I340" s="19" t="str">
        <f>IFERROR(__xludf.DUMMYFUNCTION("""COMPUTED_VALUE"""),"Asignada")</f>
        <v>Asignada</v>
      </c>
      <c r="J340" s="20">
        <f>IFERROR(__xludf.DUMMYFUNCTION("""COMPUTED_VALUE"""),45163.0)</f>
        <v>45163</v>
      </c>
      <c r="K340" s="19" t="str">
        <f>IFERROR(__xludf.DUMMYFUNCTION("""COMPUTED_VALUE"""),"Asignada")</f>
        <v>Asignada</v>
      </c>
      <c r="L340" s="20">
        <f>IFERROR(__xludf.DUMMYFUNCTION("""COMPUTED_VALUE"""),45198.0)</f>
        <v>45198</v>
      </c>
      <c r="M340" s="19" t="str">
        <f>IFERROR(__xludf.DUMMYFUNCTION("""COMPUTED_VALUE"""),"PP")</f>
        <v>PP</v>
      </c>
      <c r="N340" s="19" t="str">
        <f>IFERROR(__xludf.DUMMYFUNCTION("""COMPUTED_VALUE"""),"PRIORIDAD 1 Q3 2023 OCTUBRE")</f>
        <v>PRIORIDAD 1 Q3 2023 OCTUBRE</v>
      </c>
    </row>
    <row r="341" ht="15.75" customHeight="1">
      <c r="A341" s="19" t="str">
        <f>IFERROR(__xludf.DUMMYFUNCTION("""COMPUTED_VALUE"""),"AB_10088")</f>
        <v>AB_10088</v>
      </c>
      <c r="B341" s="19" t="str">
        <f>IFERROR(__xludf.DUMMYFUNCTION("""COMPUTED_VALUE"""),"AB_10088_C")</f>
        <v>AB_10088_C</v>
      </c>
      <c r="C341" s="19" t="str">
        <f>IFERROR(__xludf.DUMMYFUNCTION("""COMPUTED_VALUE"""),"CO10088")</f>
        <v>CO10088</v>
      </c>
      <c r="D341" s="19" t="str">
        <f>IFERROR(__xludf.DUMMYFUNCTION("""COMPUTED_VALUE"""),"Cerro Ruta 41 Nor Oriente")</f>
        <v>Cerro Ruta 41 Nor Oriente</v>
      </c>
      <c r="E341" s="19" t="str">
        <f>IFERROR(__xludf.DUMMYFUNCTION("""COMPUTED_VALUE"""),"SITIO EN CONSTRUCCION")</f>
        <v>SITIO EN CONSTRUCCION</v>
      </c>
      <c r="F341" s="19" t="str">
        <f>IFERROR(__xludf.DUMMYFUNCTION("""COMPUTED_VALUE"""),"VISITA")</f>
        <v>VISITA</v>
      </c>
      <c r="G341" s="19" t="str">
        <f>IFERROR(__xludf.DUMMYFUNCTION("""COMPUTED_VALUE"""),"CV60")</f>
        <v>CV60</v>
      </c>
      <c r="H341" s="19" t="str">
        <f>IFERROR(__xludf.DUMMYFUNCTION("""COMPUTED_VALUE"""),"INCOSERV")</f>
        <v>INCOSERV</v>
      </c>
      <c r="I341" s="19" t="str">
        <f>IFERROR(__xludf.DUMMYFUNCTION("""COMPUTED_VALUE"""),"Terminada")</f>
        <v>Terminada</v>
      </c>
      <c r="J341" s="20">
        <f>IFERROR(__xludf.DUMMYFUNCTION("""COMPUTED_VALUE"""),45034.0)</f>
        <v>45034</v>
      </c>
      <c r="K341" s="19" t="str">
        <f>IFERROR(__xludf.DUMMYFUNCTION("""COMPUTED_VALUE"""),"Por pintar ")</f>
        <v>Por pintar </v>
      </c>
      <c r="L341" s="20">
        <f>IFERROR(__xludf.DUMMYFUNCTION("""COMPUTED_VALUE"""),45107.0)</f>
        <v>45107</v>
      </c>
      <c r="M341" s="19" t="str">
        <f>IFERROR(__xludf.DUMMYFUNCTION("""COMPUTED_VALUE"""),"PP")</f>
        <v>PP</v>
      </c>
      <c r="N341" s="19" t="str">
        <f>IFERROR(__xludf.DUMMYFUNCTION("""COMPUTED_VALUE"""),"PRIORIDAD 1 Q3 2023 OCTUBRE")</f>
        <v>PRIORIDAD 1 Q3 2023 OCTUBRE</v>
      </c>
    </row>
    <row r="342" ht="15.75" customHeight="1">
      <c r="A342" s="19" t="str">
        <f>IFERROR(__xludf.DUMMYFUNCTION("""COMPUTED_VALUE"""),"AB_10089")</f>
        <v>AB_10089</v>
      </c>
      <c r="B342" s="19" t="str">
        <f>IFERROR(__xludf.DUMMYFUNCTION("""COMPUTED_VALUE"""),"AB_10089_A")</f>
        <v>AB_10089_A</v>
      </c>
      <c r="C342" s="19" t="str">
        <f>IFERROR(__xludf.DUMMYFUNCTION("""COMPUTED_VALUE"""),"CO10089")</f>
        <v>CO10089</v>
      </c>
      <c r="D342" s="19" t="str">
        <f>IFERROR(__xludf.DUMMYFUNCTION("""COMPUTED_VALUE"""),"Complejo Fronterizo Juntas del Toro")</f>
        <v>Complejo Fronterizo Juntas del Toro</v>
      </c>
      <c r="E342" s="19" t="str">
        <f>IFERROR(__xludf.DUMMYFUNCTION("""COMPUTED_VALUE"""),"SITIO EN CONSTRUCCION")</f>
        <v>SITIO EN CONSTRUCCION</v>
      </c>
      <c r="F342" s="19" t="str">
        <f>IFERROR(__xludf.DUMMYFUNCTION("""COMPUTED_VALUE"""),"VISITA")</f>
        <v>VISITA</v>
      </c>
      <c r="G342" s="19" t="str">
        <f>IFERROR(__xludf.DUMMYFUNCTION("""COMPUTED_VALUE"""),"CV42")</f>
        <v>CV42</v>
      </c>
      <c r="H342" s="19" t="str">
        <f>IFERROR(__xludf.DUMMYFUNCTION("""COMPUTED_VALUE"""),"INGENIUS")</f>
        <v>INGENIUS</v>
      </c>
      <c r="I342" s="19" t="str">
        <f>IFERROR(__xludf.DUMMYFUNCTION("""COMPUTED_VALUE"""),"Terminada")</f>
        <v>Terminada</v>
      </c>
      <c r="J342" s="20">
        <f>IFERROR(__xludf.DUMMYFUNCTION("""COMPUTED_VALUE"""),45042.0)</f>
        <v>45042</v>
      </c>
      <c r="K342" s="19" t="str">
        <f>IFERROR(__xludf.DUMMYFUNCTION("""COMPUTED_VALUE"""),"En fabricacion")</f>
        <v>En fabricacion</v>
      </c>
      <c r="L342" s="20">
        <f>IFERROR(__xludf.DUMMYFUNCTION("""COMPUTED_VALUE"""),45131.0)</f>
        <v>45131</v>
      </c>
      <c r="M342" s="19" t="str">
        <f>IFERROR(__xludf.DUMMYFUNCTION("""COMPUTED_VALUE"""),"PP")</f>
        <v>PP</v>
      </c>
      <c r="N342" s="19" t="str">
        <f>IFERROR(__xludf.DUMMYFUNCTION("""COMPUTED_VALUE"""),"PRIORIDAD 1 Q3 2023 OCTUBRE")</f>
        <v>PRIORIDAD 1 Q3 2023 OCTUBRE</v>
      </c>
    </row>
    <row r="343" ht="15.75" customHeight="1">
      <c r="A343" s="19" t="str">
        <f>IFERROR(__xludf.DUMMYFUNCTION("""COMPUTED_VALUE"""),"AB_10090")</f>
        <v>AB_10090</v>
      </c>
      <c r="B343" s="19" t="str">
        <f>IFERROR(__xludf.DUMMYFUNCTION("""COMPUTED_VALUE"""),"AB_10090_C")</f>
        <v>AB_10090_C</v>
      </c>
      <c r="C343" s="19" t="str">
        <f>IFERROR(__xludf.DUMMYFUNCTION("""COMPUTED_VALUE"""),"CO10090")</f>
        <v>CO10090</v>
      </c>
      <c r="D343" s="19" t="str">
        <f>IFERROR(__xludf.DUMMYFUNCTION("""COMPUTED_VALUE"""),"Ruta Nueva Elqui Norte")</f>
        <v>Ruta Nueva Elqui Norte</v>
      </c>
      <c r="E343" s="19" t="str">
        <f>IFERROR(__xludf.DUMMYFUNCTION("""COMPUTED_VALUE"""),"SITIO ASIGNADO")</f>
        <v>SITIO ASIGNADO</v>
      </c>
      <c r="F343" s="19"/>
      <c r="G343" s="19" t="str">
        <f>IFERROR(__xludf.DUMMYFUNCTION("""COMPUTED_VALUE"""),"CV60")</f>
        <v>CV60</v>
      </c>
      <c r="H343" s="19" t="str">
        <f>IFERROR(__xludf.DUMMYFUNCTION("""COMPUTED_VALUE"""),"DEPROMET")</f>
        <v>DEPROMET</v>
      </c>
      <c r="I343" s="19" t="str">
        <f>IFERROR(__xludf.DUMMYFUNCTION("""COMPUTED_VALUE"""),"Terminada")</f>
        <v>Terminada</v>
      </c>
      <c r="J343" s="20">
        <f>IFERROR(__xludf.DUMMYFUNCTION("""COMPUTED_VALUE"""),45001.0)</f>
        <v>45001</v>
      </c>
      <c r="K343" s="19" t="str">
        <f>IFERROR(__xludf.DUMMYFUNCTION("""COMPUTED_VALUE"""),"Por pintar ")</f>
        <v>Por pintar </v>
      </c>
      <c r="L343" s="20">
        <f>IFERROR(__xludf.DUMMYFUNCTION("""COMPUTED_VALUE"""),45044.0)</f>
        <v>45044</v>
      </c>
      <c r="M343" s="19" t="str">
        <f>IFERROR(__xludf.DUMMYFUNCTION("""COMPUTED_VALUE"""),"PP")</f>
        <v>PP</v>
      </c>
      <c r="N343" s="19" t="str">
        <f>IFERROR(__xludf.DUMMYFUNCTION("""COMPUTED_VALUE"""),"PRIORIDAD 1 Q3 2023 OCTUBRE")</f>
        <v>PRIORIDAD 1 Q3 2023 OCTUBRE</v>
      </c>
    </row>
    <row r="344" ht="15.75" customHeight="1">
      <c r="A344" s="19" t="str">
        <f>IFERROR(__xludf.DUMMYFUNCTION("""COMPUTED_VALUE"""),"AB_10091")</f>
        <v>AB_10091</v>
      </c>
      <c r="B344" s="19" t="str">
        <f>IFERROR(__xludf.DUMMYFUNCTION("""COMPUTED_VALUE"""),"AB_10091_D")</f>
        <v>AB_10091_D</v>
      </c>
      <c r="C344" s="19" t="str">
        <f>IFERROR(__xludf.DUMMYFUNCTION("""COMPUTED_VALUE"""),"CO10091")</f>
        <v>CO10091</v>
      </c>
      <c r="D344" s="19" t="str">
        <f>IFERROR(__xludf.DUMMYFUNCTION("""COMPUTED_VALUE"""),"Huanta Acceso Poniente")</f>
        <v>Huanta Acceso Poniente</v>
      </c>
      <c r="E344" s="19" t="str">
        <f>IFERROR(__xludf.DUMMYFUNCTION("""COMPUTED_VALUE"""),"SITIO RFI")</f>
        <v>SITIO RFI</v>
      </c>
      <c r="F344" s="19" t="str">
        <f>IFERROR(__xludf.DUMMYFUNCTION("""COMPUTED_VALUE"""),"CIERRE")</f>
        <v>CIERRE</v>
      </c>
      <c r="G344" s="19" t="str">
        <f>IFERROR(__xludf.DUMMYFUNCTION("""COMPUTED_VALUE"""),"AS60")</f>
        <v>AS60</v>
      </c>
      <c r="H344" s="19" t="str">
        <f>IFERROR(__xludf.DUMMYFUNCTION("""COMPUTED_VALUE"""),"JTI")</f>
        <v>JTI</v>
      </c>
      <c r="I344" s="19" t="str">
        <f>IFERROR(__xludf.DUMMYFUNCTION("""COMPUTED_VALUE"""),"Entregada")</f>
        <v>Entregada</v>
      </c>
      <c r="J344" s="20">
        <f>IFERROR(__xludf.DUMMYFUNCTION("""COMPUTED_VALUE"""),44991.0)</f>
        <v>44991</v>
      </c>
      <c r="K344" s="19" t="str">
        <f>IFERROR(__xludf.DUMMYFUNCTION("""COMPUTED_VALUE"""),"Entregada")</f>
        <v>Entregada</v>
      </c>
      <c r="L344" s="20">
        <f>IFERROR(__xludf.DUMMYFUNCTION("""COMPUTED_VALUE"""),44991.0)</f>
        <v>44991</v>
      </c>
      <c r="M344" s="19" t="str">
        <f>IFERROR(__xludf.DUMMYFUNCTION("""COMPUTED_VALUE"""),"PP")</f>
        <v>PP</v>
      </c>
      <c r="N344" s="19" t="str">
        <f>IFERROR(__xludf.DUMMYFUNCTION("""COMPUTED_VALUE"""),"PRIORIDAD 1 Q3 2023 OCTUBRE")</f>
        <v>PRIORIDAD 1 Q3 2023 OCTUBRE</v>
      </c>
    </row>
    <row r="345" ht="15.75" customHeight="1">
      <c r="A345" s="19" t="str">
        <f>IFERROR(__xludf.DUMMYFUNCTION("""COMPUTED_VALUE"""),"AB_10093")</f>
        <v>AB_10093</v>
      </c>
      <c r="B345" s="19" t="str">
        <f>IFERROR(__xludf.DUMMYFUNCTION("""COMPUTED_VALUE"""),"AB_10093_A")</f>
        <v>AB_10093_A</v>
      </c>
      <c r="C345" s="19" t="str">
        <f>IFERROR(__xludf.DUMMYFUNCTION("""COMPUTED_VALUE"""),"CO10093")</f>
        <v>CO10093</v>
      </c>
      <c r="D345" s="19" t="str">
        <f>IFERROR(__xludf.DUMMYFUNCTION("""COMPUTED_VALUE"""),"Ruta 41 Via Nueva Elqui")</f>
        <v>Ruta 41 Via Nueva Elqui</v>
      </c>
      <c r="E345" s="19" t="str">
        <f>IFERROR(__xludf.DUMMYFUNCTION("""COMPUTED_VALUE"""),"SITIO ASIGNADO")</f>
        <v>SITIO ASIGNADO</v>
      </c>
      <c r="F345" s="19"/>
      <c r="G345" s="19" t="str">
        <f>IFERROR(__xludf.DUMMYFUNCTION("""COMPUTED_VALUE"""),"CV60")</f>
        <v>CV60</v>
      </c>
      <c r="H345" s="19" t="str">
        <f>IFERROR(__xludf.DUMMYFUNCTION("""COMPUTED_VALUE"""),"DEPROMET")</f>
        <v>DEPROMET</v>
      </c>
      <c r="I345" s="19" t="str">
        <f>IFERROR(__xludf.DUMMYFUNCTION("""COMPUTED_VALUE"""),"Terminada")</f>
        <v>Terminada</v>
      </c>
      <c r="J345" s="20">
        <f>IFERROR(__xludf.DUMMYFUNCTION("""COMPUTED_VALUE"""),45001.0)</f>
        <v>45001</v>
      </c>
      <c r="K345" s="19" t="str">
        <f>IFERROR(__xludf.DUMMYFUNCTION("""COMPUTED_VALUE"""),"Terminada")</f>
        <v>Terminada</v>
      </c>
      <c r="L345" s="20">
        <f>IFERROR(__xludf.DUMMYFUNCTION("""COMPUTED_VALUE"""),45001.0)</f>
        <v>45001</v>
      </c>
      <c r="M345" s="19" t="str">
        <f>IFERROR(__xludf.DUMMYFUNCTION("""COMPUTED_VALUE"""),"PP")</f>
        <v>PP</v>
      </c>
      <c r="N345" s="19" t="str">
        <f>IFERROR(__xludf.DUMMYFUNCTION("""COMPUTED_VALUE"""),"PRIORIDAD 1 Q3 2023 OCTUBRE")</f>
        <v>PRIORIDAD 1 Q3 2023 OCTUBRE</v>
      </c>
    </row>
    <row r="346" ht="15.75" customHeight="1">
      <c r="A346" s="19" t="str">
        <f>IFERROR(__xludf.DUMMYFUNCTION("""COMPUTED_VALUE"""),"AB_10095")</f>
        <v>AB_10095</v>
      </c>
      <c r="B346" s="19" t="str">
        <f>IFERROR(__xludf.DUMMYFUNCTION("""COMPUTED_VALUE"""),"AB_10095_C")</f>
        <v>AB_10095_C</v>
      </c>
      <c r="C346" s="19" t="str">
        <f>IFERROR(__xludf.DUMMYFUNCTION("""COMPUTED_VALUE"""),"CO10095")</f>
        <v>CO10095</v>
      </c>
      <c r="D346" s="19" t="str">
        <f>IFERROR(__xludf.DUMMYFUNCTION("""COMPUTED_VALUE"""),"Cañon Ruta 41")</f>
        <v>Cañon Ruta 41</v>
      </c>
      <c r="E346" s="19" t="str">
        <f>IFERROR(__xludf.DUMMYFUNCTION("""COMPUTED_VALUE"""),"SITIO RFI")</f>
        <v>SITIO RFI</v>
      </c>
      <c r="F346" s="19" t="str">
        <f>IFERROR(__xludf.DUMMYFUNCTION("""COMPUTED_VALUE"""),"RFI")</f>
        <v>RFI</v>
      </c>
      <c r="G346" s="19" t="str">
        <f>IFERROR(__xludf.DUMMYFUNCTION("""COMPUTED_VALUE"""),"AS24")</f>
        <v>AS24</v>
      </c>
      <c r="H346" s="19" t="str">
        <f>IFERROR(__xludf.DUMMYFUNCTION("""COMPUTED_VALUE"""),"AJ")</f>
        <v>AJ</v>
      </c>
      <c r="I346" s="19" t="str">
        <f>IFERROR(__xludf.DUMMYFUNCTION("""COMPUTED_VALUE"""),"Entregada")</f>
        <v>Entregada</v>
      </c>
      <c r="J346" s="20">
        <f>IFERROR(__xludf.DUMMYFUNCTION("""COMPUTED_VALUE"""),44697.0)</f>
        <v>44697</v>
      </c>
      <c r="K346" s="19" t="str">
        <f>IFERROR(__xludf.DUMMYFUNCTION("""COMPUTED_VALUE"""),"Entregada")</f>
        <v>Entregada</v>
      </c>
      <c r="L346" s="20">
        <f>IFERROR(__xludf.DUMMYFUNCTION("""COMPUTED_VALUE"""),44848.0)</f>
        <v>44848</v>
      </c>
      <c r="M346" s="19" t="str">
        <f>IFERROR(__xludf.DUMMYFUNCTION("""COMPUTED_VALUE"""),"PP")</f>
        <v>PP</v>
      </c>
      <c r="N346" s="19" t="str">
        <f>IFERROR(__xludf.DUMMYFUNCTION("""COMPUTED_VALUE"""),"PRIORIDAD 1 Q3 2023 OCTUBRE")</f>
        <v>PRIORIDAD 1 Q3 2023 OCTUBRE</v>
      </c>
    </row>
    <row r="347" ht="15.75" customHeight="1">
      <c r="A347" s="19" t="str">
        <f>IFERROR(__xludf.DUMMYFUNCTION("""COMPUTED_VALUE"""),"AB_10098")</f>
        <v>AB_10098</v>
      </c>
      <c r="B347" s="19" t="str">
        <f>IFERROR(__xludf.DUMMYFUNCTION("""COMPUTED_VALUE"""),"AB_10098_A")</f>
        <v>AB_10098_A</v>
      </c>
      <c r="C347" s="19" t="str">
        <f>IFERROR(__xludf.DUMMYFUNCTION("""COMPUTED_VALUE"""),"CO10098")</f>
        <v>CO10098</v>
      </c>
      <c r="D347" s="19" t="str">
        <f>IFERROR(__xludf.DUMMYFUNCTION("""COMPUTED_VALUE"""),"Presa Embalse la Laguna")</f>
        <v>Presa Embalse la Laguna</v>
      </c>
      <c r="E347" s="19" t="str">
        <f>IFERROR(__xludf.DUMMYFUNCTION("""COMPUTED_VALUE"""),"SITIO EN CONSTRUCCION")</f>
        <v>SITIO EN CONSTRUCCION</v>
      </c>
      <c r="F347" s="19" t="str">
        <f>IFERROR(__xludf.DUMMYFUNCTION("""COMPUTED_VALUE"""),"VISITA")</f>
        <v>VISITA</v>
      </c>
      <c r="G347" s="19" t="str">
        <f>IFERROR(__xludf.DUMMYFUNCTION("""COMPUTED_VALUE"""),"AS60")</f>
        <v>AS60</v>
      </c>
      <c r="H347" s="19" t="str">
        <f>IFERROR(__xludf.DUMMYFUNCTION("""COMPUTED_VALUE"""),"JTI")</f>
        <v>JTI</v>
      </c>
      <c r="I347" s="19" t="str">
        <f>IFERROR(__xludf.DUMMYFUNCTION("""COMPUTED_VALUE"""),"Terminada")</f>
        <v>Terminada</v>
      </c>
      <c r="J347" s="20">
        <f>IFERROR(__xludf.DUMMYFUNCTION("""COMPUTED_VALUE"""),45034.0)</f>
        <v>45034</v>
      </c>
      <c r="K347" s="19" t="str">
        <f>IFERROR(__xludf.DUMMYFUNCTION("""COMPUTED_VALUE"""),"Por pintar ")</f>
        <v>Por pintar </v>
      </c>
      <c r="L347" s="20">
        <f>IFERROR(__xludf.DUMMYFUNCTION("""COMPUTED_VALUE"""),45051.0)</f>
        <v>45051</v>
      </c>
      <c r="M347" s="19" t="str">
        <f>IFERROR(__xludf.DUMMYFUNCTION("""COMPUTED_VALUE"""),"PP")</f>
        <v>PP</v>
      </c>
      <c r="N347" s="19" t="str">
        <f>IFERROR(__xludf.DUMMYFUNCTION("""COMPUTED_VALUE"""),"PRIORIDAD 1 Q3 2023 OCTUBRE")</f>
        <v>PRIORIDAD 1 Q3 2023 OCTUBRE</v>
      </c>
    </row>
    <row r="348" ht="15.75" customHeight="1">
      <c r="A348" s="19" t="str">
        <f>IFERROR(__xludf.DUMMYFUNCTION("""COMPUTED_VALUE"""),"AB_10100")</f>
        <v>AB_10100</v>
      </c>
      <c r="B348" s="19" t="str">
        <f>IFERROR(__xludf.DUMMYFUNCTION("""COMPUTED_VALUE"""),"AB_10100_E")</f>
        <v>AB_10100_E</v>
      </c>
      <c r="C348" s="19" t="str">
        <f>IFERROR(__xludf.DUMMYFUNCTION("""COMPUTED_VALUE"""),"CO10100")</f>
        <v>CO10100</v>
      </c>
      <c r="D348" s="19" t="str">
        <f>IFERROR(__xludf.DUMMYFUNCTION("""COMPUTED_VALUE"""),"Chaplica Cerro")</f>
        <v>Chaplica Cerro</v>
      </c>
      <c r="E348" s="19" t="str">
        <f>IFERROR(__xludf.DUMMYFUNCTION("""COMPUTED_VALUE"""),"SITIO EN CONSTRUCCION")</f>
        <v>SITIO EN CONSTRUCCION</v>
      </c>
      <c r="F348" s="19" t="str">
        <f>IFERROR(__xludf.DUMMYFUNCTION("""COMPUTED_VALUE"""),"VISITA")</f>
        <v>VISITA</v>
      </c>
      <c r="G348" s="19" t="str">
        <f>IFERROR(__xludf.DUMMYFUNCTION("""COMPUTED_VALUE"""),"CV30")</f>
        <v>CV30</v>
      </c>
      <c r="H348" s="19" t="str">
        <f>IFERROR(__xludf.DUMMYFUNCTION("""COMPUTED_VALUE"""),"MER")</f>
        <v>MER</v>
      </c>
      <c r="I348" s="19" t="str">
        <f>IFERROR(__xludf.DUMMYFUNCTION("""COMPUTED_VALUE"""),"Terminada")</f>
        <v>Terminada</v>
      </c>
      <c r="J348" s="20">
        <f>IFERROR(__xludf.DUMMYFUNCTION("""COMPUTED_VALUE"""),45051.0)</f>
        <v>45051</v>
      </c>
      <c r="K348" s="19" t="str">
        <f>IFERROR(__xludf.DUMMYFUNCTION("""COMPUTED_VALUE"""),"Por pintar ")</f>
        <v>Por pintar </v>
      </c>
      <c r="L348" s="20">
        <f>IFERROR(__xludf.DUMMYFUNCTION("""COMPUTED_VALUE"""),45054.0)</f>
        <v>45054</v>
      </c>
      <c r="M348" s="19" t="str">
        <f>IFERROR(__xludf.DUMMYFUNCTION("""COMPUTED_VALUE"""),"PP")</f>
        <v>PP</v>
      </c>
      <c r="N348" s="19" t="str">
        <f>IFERROR(__xludf.DUMMYFUNCTION("""COMPUTED_VALUE"""),"PRIORIDAD 1 Q3 2023 OCTUBRE")</f>
        <v>PRIORIDAD 1 Q3 2023 OCTUBRE</v>
      </c>
    </row>
    <row r="349" ht="15.75" customHeight="1">
      <c r="A349" s="19" t="str">
        <f>IFERROR(__xludf.DUMMYFUNCTION("""COMPUTED_VALUE"""),"AB_10102")</f>
        <v>AB_10102</v>
      </c>
      <c r="B349" s="19" t="str">
        <f>IFERROR(__xludf.DUMMYFUNCTION("""COMPUTED_VALUE"""),"AB_10102_C")</f>
        <v>AB_10102_C</v>
      </c>
      <c r="C349" s="19" t="str">
        <f>IFERROR(__xludf.DUMMYFUNCTION("""COMPUTED_VALUE"""),"CO10102")</f>
        <v>CO10102</v>
      </c>
      <c r="D349" s="19" t="str">
        <f>IFERROR(__xludf.DUMMYFUNCTION("""COMPUTED_VALUE"""),"Ruta 41 Cerro Piedra Roja")</f>
        <v>Ruta 41 Cerro Piedra Roja</v>
      </c>
      <c r="E349" s="19" t="str">
        <f>IFERROR(__xludf.DUMMYFUNCTION("""COMPUTED_VALUE"""),"SITIO ASIGNADO")</f>
        <v>SITIO ASIGNADO</v>
      </c>
      <c r="F349" s="19"/>
      <c r="G349" s="19" t="str">
        <f>IFERROR(__xludf.DUMMYFUNCTION("""COMPUTED_VALUE"""),"CV60")</f>
        <v>CV60</v>
      </c>
      <c r="H349" s="19" t="str">
        <f>IFERROR(__xludf.DUMMYFUNCTION("""COMPUTED_VALUE"""),"DEPROMET")</f>
        <v>DEPROMET</v>
      </c>
      <c r="I349" s="19" t="str">
        <f>IFERROR(__xludf.DUMMYFUNCTION("""COMPUTED_VALUE"""),"Terminada")</f>
        <v>Terminada</v>
      </c>
      <c r="J349" s="20">
        <f>IFERROR(__xludf.DUMMYFUNCTION("""COMPUTED_VALUE"""),45001.0)</f>
        <v>45001</v>
      </c>
      <c r="K349" s="19" t="str">
        <f>IFERROR(__xludf.DUMMYFUNCTION("""COMPUTED_VALUE"""),"Terminada")</f>
        <v>Terminada</v>
      </c>
      <c r="L349" s="20">
        <f>IFERROR(__xludf.DUMMYFUNCTION("""COMPUTED_VALUE"""),45001.0)</f>
        <v>45001</v>
      </c>
      <c r="M349" s="19" t="str">
        <f>IFERROR(__xludf.DUMMYFUNCTION("""COMPUTED_VALUE"""),"PP")</f>
        <v>PP</v>
      </c>
      <c r="N349" s="19" t="str">
        <f>IFERROR(__xludf.DUMMYFUNCTION("""COMPUTED_VALUE"""),"PRIORIDAD 1 Q3 2023 OCTUBRE")</f>
        <v>PRIORIDAD 1 Q3 2023 OCTUBRE</v>
      </c>
    </row>
    <row r="350" ht="15.75" customHeight="1">
      <c r="A350" s="19" t="str">
        <f>IFERROR(__xludf.DUMMYFUNCTION("""COMPUTED_VALUE"""),"AB_10103")</f>
        <v>AB_10103</v>
      </c>
      <c r="B350" s="19" t="str">
        <f>IFERROR(__xludf.DUMMYFUNCTION("""COMPUTED_VALUE"""),"AB_10103_A")</f>
        <v>AB_10103_A</v>
      </c>
      <c r="C350" s="19" t="str">
        <f>IFERROR(__xludf.DUMMYFUNCTION("""COMPUTED_VALUE"""),"CO10103")</f>
        <v>CO10103</v>
      </c>
      <c r="D350" s="19" t="str">
        <f>IFERROR(__xludf.DUMMYFUNCTION("""COMPUTED_VALUE"""),"Ruta 41 Curvas Cerro Rojo")</f>
        <v>Ruta 41 Curvas Cerro Rojo</v>
      </c>
      <c r="E350" s="19" t="str">
        <f>IFERROR(__xludf.DUMMYFUNCTION("""COMPUTED_VALUE"""),"SITIO ASIGNADO")</f>
        <v>SITIO ASIGNADO</v>
      </c>
      <c r="F350" s="19"/>
      <c r="G350" s="19" t="str">
        <f>IFERROR(__xludf.DUMMYFUNCTION("""COMPUTED_VALUE"""),"CV42")</f>
        <v>CV42</v>
      </c>
      <c r="H350" s="19" t="str">
        <f>IFERROR(__xludf.DUMMYFUNCTION("""COMPUTED_VALUE"""),"INGENIUS")</f>
        <v>INGENIUS</v>
      </c>
      <c r="I350" s="19" t="str">
        <f>IFERROR(__xludf.DUMMYFUNCTION("""COMPUTED_VALUE"""),"Terminada")</f>
        <v>Terminada</v>
      </c>
      <c r="J350" s="20">
        <f>IFERROR(__xludf.DUMMYFUNCTION("""COMPUTED_VALUE"""),45042.0)</f>
        <v>45042</v>
      </c>
      <c r="K350" s="19" t="str">
        <f>IFERROR(__xludf.DUMMYFUNCTION("""COMPUTED_VALUE"""),"En fabricacion")</f>
        <v>En fabricacion</v>
      </c>
      <c r="L350" s="20">
        <f>IFERROR(__xludf.DUMMYFUNCTION("""COMPUTED_VALUE"""),45131.0)</f>
        <v>45131</v>
      </c>
      <c r="M350" s="19" t="str">
        <f>IFERROR(__xludf.DUMMYFUNCTION("""COMPUTED_VALUE"""),"PP")</f>
        <v>PP</v>
      </c>
      <c r="N350" s="19" t="str">
        <f>IFERROR(__xludf.DUMMYFUNCTION("""COMPUTED_VALUE"""),"PRIORIDAD 1 Q3 2023 OCTUBRE")</f>
        <v>PRIORIDAD 1 Q3 2023 OCTUBRE</v>
      </c>
    </row>
    <row r="351" ht="15.75" customHeight="1">
      <c r="A351" s="19" t="str">
        <f>IFERROR(__xludf.DUMMYFUNCTION("""COMPUTED_VALUE"""),"AB_10104")</f>
        <v>AB_10104</v>
      </c>
      <c r="B351" s="19" t="str">
        <f>IFERROR(__xludf.DUMMYFUNCTION("""COMPUTED_VALUE"""),"AB_10104_A")</f>
        <v>AB_10104_A</v>
      </c>
      <c r="C351" s="19" t="str">
        <f>IFERROR(__xludf.DUMMYFUNCTION("""COMPUTED_VALUE"""),"CO10104")</f>
        <v>CO10104</v>
      </c>
      <c r="D351" s="19" t="str">
        <f>IFERROR(__xludf.DUMMYFUNCTION("""COMPUTED_VALUE"""),"Cumbre Gabriela Mistral")</f>
        <v>Cumbre Gabriela Mistral</v>
      </c>
      <c r="E351" s="19" t="str">
        <f>IFERROR(__xludf.DUMMYFUNCTION("""COMPUTED_VALUE"""),"SITIO ASIGNADO")</f>
        <v>SITIO ASIGNADO</v>
      </c>
      <c r="F351" s="19"/>
      <c r="G351" s="19" t="str">
        <f>IFERROR(__xludf.DUMMYFUNCTION("""COMPUTED_VALUE"""),"CV30")</f>
        <v>CV30</v>
      </c>
      <c r="H351" s="19" t="str">
        <f>IFERROR(__xludf.DUMMYFUNCTION("""COMPUTED_VALUE"""),"MER")</f>
        <v>MER</v>
      </c>
      <c r="I351" s="19" t="str">
        <f>IFERROR(__xludf.DUMMYFUNCTION("""COMPUTED_VALUE"""),"Terminada")</f>
        <v>Terminada</v>
      </c>
      <c r="J351" s="20">
        <f>IFERROR(__xludf.DUMMYFUNCTION("""COMPUTED_VALUE"""),45051.0)</f>
        <v>45051</v>
      </c>
      <c r="K351" s="19" t="str">
        <f>IFERROR(__xludf.DUMMYFUNCTION("""COMPUTED_VALUE"""),"Por pintar ")</f>
        <v>Por pintar </v>
      </c>
      <c r="L351" s="20">
        <f>IFERROR(__xludf.DUMMYFUNCTION("""COMPUTED_VALUE"""),45054.0)</f>
        <v>45054</v>
      </c>
      <c r="M351" s="19" t="str">
        <f>IFERROR(__xludf.DUMMYFUNCTION("""COMPUTED_VALUE"""),"PP")</f>
        <v>PP</v>
      </c>
      <c r="N351" s="19" t="str">
        <f>IFERROR(__xludf.DUMMYFUNCTION("""COMPUTED_VALUE"""),"PRIORIDAD 1 Q3 2023 OCTUBRE")</f>
        <v>PRIORIDAD 1 Q3 2023 OCTUBRE</v>
      </c>
    </row>
    <row r="352" ht="15.75" customHeight="1">
      <c r="A352" s="19" t="str">
        <f>IFERROR(__xludf.DUMMYFUNCTION("""COMPUTED_VALUE"""),"AB_10138")</f>
        <v>AB_10138</v>
      </c>
      <c r="B352" s="19" t="str">
        <f>IFERROR(__xludf.DUMMYFUNCTION("""COMPUTED_VALUE"""),"AB_10138_C")</f>
        <v>AB_10138_C</v>
      </c>
      <c r="C352" s="19" t="str">
        <f>IFERROR(__xludf.DUMMYFUNCTION("""COMPUTED_VALUE"""),"CO10138")</f>
        <v>CO10138</v>
      </c>
      <c r="D352" s="19" t="str">
        <f>IFERROR(__xludf.DUMMYFUNCTION("""COMPUTED_VALUE"""),"Casino UCN Guayacan")</f>
        <v>Casino UCN Guayacan</v>
      </c>
      <c r="E352" s="19" t="str">
        <f>IFERROR(__xludf.DUMMYFUNCTION("""COMPUTED_VALUE"""),"SITIO PENDIENTE")</f>
        <v>SITIO PENDIENTE</v>
      </c>
      <c r="F352" s="19"/>
      <c r="G352" s="19" t="str">
        <f>IFERROR(__xludf.DUMMYFUNCTION("""COMPUTED_VALUE"""),"x")</f>
        <v>x</v>
      </c>
      <c r="H352" s="19" t="str">
        <f>IFERROR(__xludf.DUMMYFUNCTION("""COMPUTED_VALUE"""),"x")</f>
        <v>x</v>
      </c>
      <c r="I352" s="19" t="str">
        <f>IFERROR(__xludf.DUMMYFUNCTION("""COMPUTED_VALUE"""),"x")</f>
        <v>x</v>
      </c>
      <c r="J352" s="20" t="str">
        <f>IFERROR(__xludf.DUMMYFUNCTION("""COMPUTED_VALUE"""),"x")</f>
        <v>x</v>
      </c>
      <c r="K352" s="19" t="str">
        <f>IFERROR(__xludf.DUMMYFUNCTION("""COMPUTED_VALUE"""),"x")</f>
        <v>x</v>
      </c>
      <c r="L352" s="20" t="str">
        <f>IFERROR(__xludf.DUMMYFUNCTION("""COMPUTED_VALUE"""),"x")</f>
        <v>x</v>
      </c>
      <c r="M352" s="19" t="str">
        <f>IFERROR(__xludf.DUMMYFUNCTION("""COMPUTED_VALUE"""),"PP")</f>
        <v>PP</v>
      </c>
      <c r="N352" s="19" t="str">
        <f>IFERROR(__xludf.DUMMYFUNCTION("""COMPUTED_VALUE"""),"PRIORIDAD 3 Q1 2024 MARZO")</f>
        <v>PRIORIDAD 3 Q1 2024 MARZO</v>
      </c>
    </row>
    <row r="353" ht="15.75" customHeight="1">
      <c r="A353" s="19" t="str">
        <f>IFERROR(__xludf.DUMMYFUNCTION("""COMPUTED_VALUE"""),"AB_10150")</f>
        <v>AB_10150</v>
      </c>
      <c r="B353" s="19" t="str">
        <f>IFERROR(__xludf.DUMMYFUNCTION("""COMPUTED_VALUE"""),"AB_10150_D")</f>
        <v>AB_10150_D</v>
      </c>
      <c r="C353" s="19" t="str">
        <f>IFERROR(__xludf.DUMMYFUNCTION("""COMPUTED_VALUE"""),"CO10150")</f>
        <v>CO10150</v>
      </c>
      <c r="D353" s="19" t="str">
        <f>IFERROR(__xludf.DUMMYFUNCTION("""COMPUTED_VALUE"""),"Pisco Elqui Acceso Sur")</f>
        <v>Pisco Elqui Acceso Sur</v>
      </c>
      <c r="E353" s="19" t="str">
        <f>IFERROR(__xludf.DUMMYFUNCTION("""COMPUTED_VALUE"""),"SITIO FIRMADO")</f>
        <v>SITIO FIRMADO</v>
      </c>
      <c r="F353" s="19"/>
      <c r="G353" s="19" t="str">
        <f>IFERROR(__xludf.DUMMYFUNCTION("""COMPUTED_VALUE"""),"CV24")</f>
        <v>CV24</v>
      </c>
      <c r="H353" s="19" t="str">
        <f>IFERROR(__xludf.DUMMYFUNCTION("""COMPUTED_VALUE"""),"INGENIUS")</f>
        <v>INGENIUS</v>
      </c>
      <c r="I353" s="19" t="str">
        <f>IFERROR(__xludf.DUMMYFUNCTION("""COMPUTED_VALUE"""),"Terminada")</f>
        <v>Terminada</v>
      </c>
      <c r="J353" s="20">
        <f>IFERROR(__xludf.DUMMYFUNCTION("""COMPUTED_VALUE"""),45041.0)</f>
        <v>45041</v>
      </c>
      <c r="K353" s="19" t="str">
        <f>IFERROR(__xludf.DUMMYFUNCTION("""COMPUTED_VALUE"""),"Por pintar ")</f>
        <v>Por pintar </v>
      </c>
      <c r="L353" s="20">
        <f>IFERROR(__xludf.DUMMYFUNCTION("""COMPUTED_VALUE"""),45062.0)</f>
        <v>45062</v>
      </c>
      <c r="M353" s="19" t="str">
        <f>IFERROR(__xludf.DUMMYFUNCTION("""COMPUTED_VALUE"""),"PP")</f>
        <v>PP</v>
      </c>
      <c r="N353" s="19" t="str">
        <f>IFERROR(__xludf.DUMMYFUNCTION("""COMPUTED_VALUE"""),"PRIORIDAD 3 Q1 2024 MARZO")</f>
        <v>PRIORIDAD 3 Q1 2024 MARZO</v>
      </c>
    </row>
    <row r="354" ht="15.75" customHeight="1">
      <c r="A354" s="19" t="str">
        <f>IFERROR(__xludf.DUMMYFUNCTION("""COMPUTED_VALUE"""),"AB_10177")</f>
        <v>AB_10177</v>
      </c>
      <c r="B354" s="19" t="str">
        <f>IFERROR(__xludf.DUMMYFUNCTION("""COMPUTED_VALUE"""),"AB_10177_A")</f>
        <v>AB_10177_A</v>
      </c>
      <c r="C354" s="19" t="str">
        <f>IFERROR(__xludf.DUMMYFUNCTION("""COMPUTED_VALUE"""),"CO10177")</f>
        <v>CO10177</v>
      </c>
      <c r="D354" s="19" t="str">
        <f>IFERROR(__xludf.DUMMYFUNCTION("""COMPUTED_VALUE"""),"Maitencillo Andacollo")</f>
        <v>Maitencillo Andacollo</v>
      </c>
      <c r="E354" s="19" t="str">
        <f>IFERROR(__xludf.DUMMYFUNCTION("""COMPUTED_VALUE"""),"SITIO RFI")</f>
        <v>SITIO RFI</v>
      </c>
      <c r="F354" s="19" t="str">
        <f>IFERROR(__xludf.DUMMYFUNCTION("""COMPUTED_VALUE"""),"RFI")</f>
        <v>RFI</v>
      </c>
      <c r="G354" s="19" t="str">
        <f>IFERROR(__xludf.DUMMYFUNCTION("""COMPUTED_VALUE"""),"CV24")</f>
        <v>CV24</v>
      </c>
      <c r="H354" s="19" t="str">
        <f>IFERROR(__xludf.DUMMYFUNCTION("""COMPUTED_VALUE"""),"ADM")</f>
        <v>ADM</v>
      </c>
      <c r="I354" s="19" t="str">
        <f>IFERROR(__xludf.DUMMYFUNCTION("""COMPUTED_VALUE"""),"Entregada")</f>
        <v>Entregada</v>
      </c>
      <c r="J354" s="20">
        <f>IFERROR(__xludf.DUMMYFUNCTION("""COMPUTED_VALUE"""),44743.0)</f>
        <v>44743</v>
      </c>
      <c r="K354" s="19" t="str">
        <f>IFERROR(__xludf.DUMMYFUNCTION("""COMPUTED_VALUE"""),"Entregada")</f>
        <v>Entregada</v>
      </c>
      <c r="L354" s="20">
        <f>IFERROR(__xludf.DUMMYFUNCTION("""COMPUTED_VALUE"""),44743.0)</f>
        <v>44743</v>
      </c>
      <c r="M354" s="19" t="str">
        <f>IFERROR(__xludf.DUMMYFUNCTION("""COMPUTED_VALUE"""),"PCM")</f>
        <v>PCM</v>
      </c>
      <c r="N354" s="19" t="str">
        <f>IFERROR(__xludf.DUMMYFUNCTION("""COMPUTED_VALUE"""),"PRIORIDAD 1 Q3 2023 OCTUBRE")</f>
        <v>PRIORIDAD 1 Q3 2023 OCTUBRE</v>
      </c>
    </row>
    <row r="355" ht="15.75" customHeight="1">
      <c r="A355" s="19" t="str">
        <f>IFERROR(__xludf.DUMMYFUNCTION("""COMPUTED_VALUE"""),"AB_10257")</f>
        <v>AB_10257</v>
      </c>
      <c r="B355" s="19" t="str">
        <f>IFERROR(__xludf.DUMMYFUNCTION("""COMPUTED_VALUE"""),"AB_10257_C")</f>
        <v>AB_10257_C</v>
      </c>
      <c r="C355" s="19" t="str">
        <f>IFERROR(__xludf.DUMMYFUNCTION("""COMPUTED_VALUE"""),"CO10257")</f>
        <v>CO10257</v>
      </c>
      <c r="D355" s="19" t="str">
        <f>IFERROR(__xludf.DUMMYFUNCTION("""COMPUTED_VALUE"""),"Observatorio La Silla")</f>
        <v>Observatorio La Silla</v>
      </c>
      <c r="E355" s="19" t="str">
        <f>IFERROR(__xludf.DUMMYFUNCTION("""COMPUTED_VALUE"""),"SITIO ASIGNADO")</f>
        <v>SITIO ASIGNADO</v>
      </c>
      <c r="F355" s="19"/>
      <c r="G355" s="19" t="str">
        <f>IFERROR(__xludf.DUMMYFUNCTION("""COMPUTED_VALUE"""),"CV36")</f>
        <v>CV36</v>
      </c>
      <c r="H355" s="19" t="str">
        <f>IFERROR(__xludf.DUMMYFUNCTION("""COMPUTED_VALUE"""),"AJ")</f>
        <v>AJ</v>
      </c>
      <c r="I355" s="19" t="str">
        <f>IFERROR(__xludf.DUMMYFUNCTION("""COMPUTED_VALUE"""),"Terminada")</f>
        <v>Terminada</v>
      </c>
      <c r="J355" s="20">
        <f>IFERROR(__xludf.DUMMYFUNCTION("""COMPUTED_VALUE"""),44697.0)</f>
        <v>44697</v>
      </c>
      <c r="K355" s="19" t="str">
        <f>IFERROR(__xludf.DUMMYFUNCTION("""COMPUTED_VALUE"""),"Por pintar ")</f>
        <v>Por pintar </v>
      </c>
      <c r="L355" s="20">
        <f>IFERROR(__xludf.DUMMYFUNCTION("""COMPUTED_VALUE"""),44869.0)</f>
        <v>44869</v>
      </c>
      <c r="M355" s="19" t="str">
        <f>IFERROR(__xludf.DUMMYFUNCTION("""COMPUTED_VALUE"""),"PCM")</f>
        <v>PCM</v>
      </c>
      <c r="N355" s="19" t="str">
        <f>IFERROR(__xludf.DUMMYFUNCTION("""COMPUTED_VALUE"""),"PRIORIDAD 1 Q3 2023 OCTUBRE")</f>
        <v>PRIORIDAD 1 Q3 2023 OCTUBRE</v>
      </c>
    </row>
    <row r="356" ht="15.75" customHeight="1">
      <c r="A356" s="19" t="str">
        <f>IFERROR(__xludf.DUMMYFUNCTION("""COMPUTED_VALUE"""),"AB_10267")</f>
        <v>AB_10267</v>
      </c>
      <c r="B356" s="19" t="str">
        <f>IFERROR(__xludf.DUMMYFUNCTION("""COMPUTED_VALUE"""),"AB_10267_B")</f>
        <v>AB_10267_B</v>
      </c>
      <c r="C356" s="19" t="str">
        <f>IFERROR(__xludf.DUMMYFUNCTION("""COMPUTED_VALUE"""),"CO10267")</f>
        <v>CO10267</v>
      </c>
      <c r="D356" s="19" t="str">
        <f>IFERROR(__xludf.DUMMYFUNCTION("""COMPUTED_VALUE"""),"Horcon - Elqui")</f>
        <v>Horcon - Elqui</v>
      </c>
      <c r="E356" s="19" t="str">
        <f>IFERROR(__xludf.DUMMYFUNCTION("""COMPUTED_VALUE"""),"SITIO RFI")</f>
        <v>SITIO RFI</v>
      </c>
      <c r="F356" s="19" t="str">
        <f>IFERROR(__xludf.DUMMYFUNCTION("""COMPUTED_VALUE"""),"RFI")</f>
        <v>RFI</v>
      </c>
      <c r="G356" s="19" t="str">
        <f>IFERROR(__xludf.DUMMYFUNCTION("""COMPUTED_VALUE"""),"AS36")</f>
        <v>AS36</v>
      </c>
      <c r="H356" s="19" t="str">
        <f>IFERROR(__xludf.DUMMYFUNCTION("""COMPUTED_VALUE"""),"MER")</f>
        <v>MER</v>
      </c>
      <c r="I356" s="19" t="str">
        <f>IFERROR(__xludf.DUMMYFUNCTION("""COMPUTED_VALUE"""),"Entregada")</f>
        <v>Entregada</v>
      </c>
      <c r="J356" s="20">
        <f>IFERROR(__xludf.DUMMYFUNCTION("""COMPUTED_VALUE"""),44693.0)</f>
        <v>44693</v>
      </c>
      <c r="K356" s="19" t="str">
        <f>IFERROR(__xludf.DUMMYFUNCTION("""COMPUTED_VALUE"""),"Entregada")</f>
        <v>Entregada</v>
      </c>
      <c r="L356" s="20">
        <f>IFERROR(__xludf.DUMMYFUNCTION("""COMPUTED_VALUE"""),44708.0)</f>
        <v>44708</v>
      </c>
      <c r="M356" s="19" t="str">
        <f>IFERROR(__xludf.DUMMYFUNCTION("""COMPUTED_VALUE"""),"PCM")</f>
        <v>PCM</v>
      </c>
      <c r="N356" s="19" t="str">
        <f>IFERROR(__xludf.DUMMYFUNCTION("""COMPUTED_VALUE"""),"PRIORIDAD 1 Q3 2023 OCTUBRE")</f>
        <v>PRIORIDAD 1 Q3 2023 OCTUBRE</v>
      </c>
    </row>
    <row r="357" ht="15.75" customHeight="1">
      <c r="A357" s="19" t="str">
        <f>IFERROR(__xludf.DUMMYFUNCTION("""COMPUTED_VALUE"""),"AB_10270")</f>
        <v>AB_10270</v>
      </c>
      <c r="B357" s="19" t="str">
        <f>IFERROR(__xludf.DUMMYFUNCTION("""COMPUTED_VALUE"""),"AB_10270_B")</f>
        <v>AB_10270_B</v>
      </c>
      <c r="C357" s="19" t="str">
        <f>IFERROR(__xludf.DUMMYFUNCTION("""COMPUTED_VALUE"""),"CO10270")</f>
        <v>CO10270</v>
      </c>
      <c r="D357" s="19" t="str">
        <f>IFERROR(__xludf.DUMMYFUNCTION("""COMPUTED_VALUE"""),"D75 - Cruce Illapel - Los Vilos")</f>
        <v>D75 - Cruce Illapel - Los Vilos</v>
      </c>
      <c r="E357" s="19" t="str">
        <f>IFERROR(__xludf.DUMMYFUNCTION("""COMPUTED_VALUE"""),"SITIO RFI")</f>
        <v>SITIO RFI</v>
      </c>
      <c r="F357" s="19" t="str">
        <f>IFERROR(__xludf.DUMMYFUNCTION("""COMPUTED_VALUE"""),"RFI")</f>
        <v>RFI</v>
      </c>
      <c r="G357" s="19" t="str">
        <f>IFERROR(__xludf.DUMMYFUNCTION("""COMPUTED_VALUE"""),"CV42")</f>
        <v>CV42</v>
      </c>
      <c r="H357" s="19" t="str">
        <f>IFERROR(__xludf.DUMMYFUNCTION("""COMPUTED_VALUE"""),"DEPROMET")</f>
        <v>DEPROMET</v>
      </c>
      <c r="I357" s="19" t="str">
        <f>IFERROR(__xludf.DUMMYFUNCTION("""COMPUTED_VALUE"""),"Entregada")</f>
        <v>Entregada</v>
      </c>
      <c r="J357" s="20">
        <f>IFERROR(__xludf.DUMMYFUNCTION("""COMPUTED_VALUE"""),44764.0)</f>
        <v>44764</v>
      </c>
      <c r="K357" s="19" t="str">
        <f>IFERROR(__xludf.DUMMYFUNCTION("""COMPUTED_VALUE"""),"Entregada")</f>
        <v>Entregada</v>
      </c>
      <c r="L357" s="20">
        <f>IFERROR(__xludf.DUMMYFUNCTION("""COMPUTED_VALUE"""),44785.0)</f>
        <v>44785</v>
      </c>
      <c r="M357" s="19" t="str">
        <f>IFERROR(__xludf.DUMMYFUNCTION("""COMPUTED_VALUE"""),"PCM")</f>
        <v>PCM</v>
      </c>
      <c r="N357" s="19" t="str">
        <f>IFERROR(__xludf.DUMMYFUNCTION("""COMPUTED_VALUE"""),"PRIORIDAD 1 Q3 2023 OCTUBRE")</f>
        <v>PRIORIDAD 1 Q3 2023 OCTUBRE</v>
      </c>
    </row>
    <row r="358" ht="15.75" customHeight="1">
      <c r="A358" s="19" t="str">
        <f>IFERROR(__xludf.DUMMYFUNCTION("""COMPUTED_VALUE"""),"AB_10296")</f>
        <v>AB_10296</v>
      </c>
      <c r="B358" s="19" t="str">
        <f>IFERROR(__xludf.DUMMYFUNCTION("""COMPUTED_VALUE"""),"AB_10296_A")</f>
        <v>AB_10296_A</v>
      </c>
      <c r="C358" s="19" t="str">
        <f>IFERROR(__xludf.DUMMYFUNCTION("""COMPUTED_VALUE"""),"CO10296")</f>
        <v>CO10296</v>
      </c>
      <c r="D358" s="19" t="str">
        <f>IFERROR(__xludf.DUMMYFUNCTION("""COMPUTED_VALUE"""),"Arboleda Grande Salamanca")</f>
        <v>Arboleda Grande Salamanca</v>
      </c>
      <c r="E358" s="19" t="str">
        <f>IFERROR(__xludf.DUMMYFUNCTION("""COMPUTED_VALUE"""),"SITIO RFI")</f>
        <v>SITIO RFI</v>
      </c>
      <c r="F358" s="19" t="str">
        <f>IFERROR(__xludf.DUMMYFUNCTION("""COMPUTED_VALUE"""),"RFI")</f>
        <v>RFI</v>
      </c>
      <c r="G358" s="19" t="str">
        <f>IFERROR(__xludf.DUMMYFUNCTION("""COMPUTED_VALUE"""),"CV30")</f>
        <v>CV30</v>
      </c>
      <c r="H358" s="19" t="str">
        <f>IFERROR(__xludf.DUMMYFUNCTION("""COMPUTED_VALUE"""),"SYC")</f>
        <v>SYC</v>
      </c>
      <c r="I358" s="19" t="str">
        <f>IFERROR(__xludf.DUMMYFUNCTION("""COMPUTED_VALUE"""),"Entregada")</f>
        <v>Entregada</v>
      </c>
      <c r="J358" s="20">
        <f>IFERROR(__xludf.DUMMYFUNCTION("""COMPUTED_VALUE"""),44708.0)</f>
        <v>44708</v>
      </c>
      <c r="K358" s="19" t="str">
        <f>IFERROR(__xludf.DUMMYFUNCTION("""COMPUTED_VALUE"""),"Entregada")</f>
        <v>Entregada</v>
      </c>
      <c r="L358" s="20">
        <f>IFERROR(__xludf.DUMMYFUNCTION("""COMPUTED_VALUE"""),44816.0)</f>
        <v>44816</v>
      </c>
      <c r="M358" s="19" t="str">
        <f>IFERROR(__xludf.DUMMYFUNCTION("""COMPUTED_VALUE"""),"PCM")</f>
        <v>PCM</v>
      </c>
      <c r="N358" s="19" t="str">
        <f>IFERROR(__xludf.DUMMYFUNCTION("""COMPUTED_VALUE"""),"PRIORIDAD 1 Q3 2023 OCTUBRE")</f>
        <v>PRIORIDAD 1 Q3 2023 OCTUBRE</v>
      </c>
    </row>
    <row r="359" ht="15.75" customHeight="1">
      <c r="A359" s="19" t="str">
        <f>IFERROR(__xludf.DUMMYFUNCTION("""COMPUTED_VALUE"""),"AB_10300")</f>
        <v>AB_10300</v>
      </c>
      <c r="B359" s="19" t="str">
        <f>IFERROR(__xludf.DUMMYFUNCTION("""COMPUTED_VALUE"""),"AB_10300_B")</f>
        <v>AB_10300_B</v>
      </c>
      <c r="C359" s="19" t="str">
        <f>IFERROR(__xludf.DUMMYFUNCTION("""COMPUTED_VALUE"""),"CO10300")</f>
        <v>CO10300</v>
      </c>
      <c r="D359" s="19" t="str">
        <f>IFERROR(__xludf.DUMMYFUNCTION("""COMPUTED_VALUE"""),"Quilitapia")</f>
        <v>Quilitapia</v>
      </c>
      <c r="E359" s="19" t="str">
        <f>IFERROR(__xludf.DUMMYFUNCTION("""COMPUTED_VALUE"""),"SITIO RFI")</f>
        <v>SITIO RFI</v>
      </c>
      <c r="F359" s="19" t="str">
        <f>IFERROR(__xludf.DUMMYFUNCTION("""COMPUTED_VALUE"""),"RFI")</f>
        <v>RFI</v>
      </c>
      <c r="G359" s="19" t="str">
        <f>IFERROR(__xludf.DUMMYFUNCTION("""COMPUTED_VALUE"""),"CV42")</f>
        <v>CV42</v>
      </c>
      <c r="H359" s="19" t="str">
        <f>IFERROR(__xludf.DUMMYFUNCTION("""COMPUTED_VALUE"""),"AJ")</f>
        <v>AJ</v>
      </c>
      <c r="I359" s="19" t="str">
        <f>IFERROR(__xludf.DUMMYFUNCTION("""COMPUTED_VALUE"""),"Entregada")</f>
        <v>Entregada</v>
      </c>
      <c r="J359" s="20">
        <f>IFERROR(__xludf.DUMMYFUNCTION("""COMPUTED_VALUE"""),44816.0)</f>
        <v>44816</v>
      </c>
      <c r="K359" s="19" t="str">
        <f>IFERROR(__xludf.DUMMYFUNCTION("""COMPUTED_VALUE"""),"Entregada")</f>
        <v>Entregada</v>
      </c>
      <c r="L359" s="20">
        <f>IFERROR(__xludf.DUMMYFUNCTION("""COMPUTED_VALUE"""),44837.0)</f>
        <v>44837</v>
      </c>
      <c r="M359" s="19" t="str">
        <f>IFERROR(__xludf.DUMMYFUNCTION("""COMPUTED_VALUE"""),"PCM")</f>
        <v>PCM</v>
      </c>
      <c r="N359" s="19" t="str">
        <f>IFERROR(__xludf.DUMMYFUNCTION("""COMPUTED_VALUE"""),"PRIORIDAD 1 Q3 2023 OCTUBRE")</f>
        <v>PRIORIDAD 1 Q3 2023 OCTUBRE</v>
      </c>
    </row>
    <row r="360" ht="15.75" customHeight="1">
      <c r="A360" s="19" t="str">
        <f>IFERROR(__xludf.DUMMYFUNCTION("""COMPUTED_VALUE"""),"AB_10305")</f>
        <v>AB_10305</v>
      </c>
      <c r="B360" s="19" t="str">
        <f>IFERROR(__xludf.DUMMYFUNCTION("""COMPUTED_VALUE"""),"AB_10305_A")</f>
        <v>AB_10305_A</v>
      </c>
      <c r="C360" s="19" t="str">
        <f>IFERROR(__xludf.DUMMYFUNCTION("""COMPUTED_VALUE"""),"CO10305")</f>
        <v>CO10305</v>
      </c>
      <c r="D360" s="19" t="str">
        <f>IFERROR(__xludf.DUMMYFUNCTION("""COMPUTED_VALUE"""),"San Marcos Pueblo Combarbala")</f>
        <v>San Marcos Pueblo Combarbala</v>
      </c>
      <c r="E360" s="19" t="str">
        <f>IFERROR(__xludf.DUMMYFUNCTION("""COMPUTED_VALUE"""),"SITIO RFI")</f>
        <v>SITIO RFI</v>
      </c>
      <c r="F360" s="19" t="str">
        <f>IFERROR(__xludf.DUMMYFUNCTION("""COMPUTED_VALUE"""),"RFI")</f>
        <v>RFI</v>
      </c>
      <c r="G360" s="19" t="str">
        <f>IFERROR(__xludf.DUMMYFUNCTION("""COMPUTED_VALUE"""),"AS36")</f>
        <v>AS36</v>
      </c>
      <c r="H360" s="19" t="str">
        <f>IFERROR(__xludf.DUMMYFUNCTION("""COMPUTED_VALUE"""),"METALING")</f>
        <v>METALING</v>
      </c>
      <c r="I360" s="19" t="str">
        <f>IFERROR(__xludf.DUMMYFUNCTION("""COMPUTED_VALUE"""),"Entregada")</f>
        <v>Entregada</v>
      </c>
      <c r="J360" s="20">
        <f>IFERROR(__xludf.DUMMYFUNCTION("""COMPUTED_VALUE"""),44680.0)</f>
        <v>44680</v>
      </c>
      <c r="K360" s="19" t="str">
        <f>IFERROR(__xludf.DUMMYFUNCTION("""COMPUTED_VALUE"""),"Entregada")</f>
        <v>Entregada</v>
      </c>
      <c r="L360" s="20">
        <f>IFERROR(__xludf.DUMMYFUNCTION("""COMPUTED_VALUE"""),44722.0)</f>
        <v>44722</v>
      </c>
      <c r="M360" s="19" t="str">
        <f>IFERROR(__xludf.DUMMYFUNCTION("""COMPUTED_VALUE"""),"PCM")</f>
        <v>PCM</v>
      </c>
      <c r="N360" s="19" t="str">
        <f>IFERROR(__xludf.DUMMYFUNCTION("""COMPUTED_VALUE"""),"PRIORIDAD 1 Q3 2023 OCTUBRE")</f>
        <v>PRIORIDAD 1 Q3 2023 OCTUBRE</v>
      </c>
    </row>
    <row r="361" ht="15.75" customHeight="1">
      <c r="A361" s="19" t="str">
        <f>IFERROR(__xludf.DUMMYFUNCTION("""COMPUTED_VALUE"""),"AB_10319")</f>
        <v>AB_10319</v>
      </c>
      <c r="B361" s="19" t="str">
        <f>IFERROR(__xludf.DUMMYFUNCTION("""COMPUTED_VALUE"""),"AB_10319_B")</f>
        <v>AB_10319_B</v>
      </c>
      <c r="C361" s="19" t="str">
        <f>IFERROR(__xludf.DUMMYFUNCTION("""COMPUTED_VALUE"""),"CO10319")</f>
        <v>CO10319</v>
      </c>
      <c r="D361" s="19" t="str">
        <f>IFERROR(__xludf.DUMMYFUNCTION("""COMPUTED_VALUE"""),"Fundina - Rio Hurtado")</f>
        <v>Fundina - Rio Hurtado</v>
      </c>
      <c r="E361" s="19" t="str">
        <f>IFERROR(__xludf.DUMMYFUNCTION("""COMPUTED_VALUE"""),"SITIO RFI")</f>
        <v>SITIO RFI</v>
      </c>
      <c r="F361" s="19" t="str">
        <f>IFERROR(__xludf.DUMMYFUNCTION("""COMPUTED_VALUE"""),"RFI")</f>
        <v>RFI</v>
      </c>
      <c r="G361" s="19" t="str">
        <f>IFERROR(__xludf.DUMMYFUNCTION("""COMPUTED_VALUE"""),"CV42")</f>
        <v>CV42</v>
      </c>
      <c r="H361" s="19" t="str">
        <f>IFERROR(__xludf.DUMMYFUNCTION("""COMPUTED_VALUE"""),"SyC")</f>
        <v>SyC</v>
      </c>
      <c r="I361" s="19" t="str">
        <f>IFERROR(__xludf.DUMMYFUNCTION("""COMPUTED_VALUE"""),"Entregada")</f>
        <v>Entregada</v>
      </c>
      <c r="J361" s="20">
        <f>IFERROR(__xludf.DUMMYFUNCTION("""COMPUTED_VALUE"""),44769.0)</f>
        <v>44769</v>
      </c>
      <c r="K361" s="19" t="str">
        <f>IFERROR(__xludf.DUMMYFUNCTION("""COMPUTED_VALUE"""),"Entregada")</f>
        <v>Entregada</v>
      </c>
      <c r="L361" s="20">
        <f>IFERROR(__xludf.DUMMYFUNCTION("""COMPUTED_VALUE"""),44784.0)</f>
        <v>44784</v>
      </c>
      <c r="M361" s="19" t="str">
        <f>IFERROR(__xludf.DUMMYFUNCTION("""COMPUTED_VALUE"""),"PCM")</f>
        <v>PCM</v>
      </c>
      <c r="N361" s="19" t="str">
        <f>IFERROR(__xludf.DUMMYFUNCTION("""COMPUTED_VALUE"""),"PRIORIDAD 1 Q3 2023 OCTUBRE")</f>
        <v>PRIORIDAD 1 Q3 2023 OCTUBRE</v>
      </c>
    </row>
    <row r="362" ht="15.75" customHeight="1">
      <c r="A362" s="19" t="str">
        <f>IFERROR(__xludf.DUMMYFUNCTION("""COMPUTED_VALUE"""),"AB_10602")</f>
        <v>AB_10602</v>
      </c>
      <c r="B362" s="19" t="str">
        <f>IFERROR(__xludf.DUMMYFUNCTION("""COMPUTED_VALUE"""),"AB_10602_A")</f>
        <v>AB_10602_A</v>
      </c>
      <c r="C362" s="19" t="str">
        <f>IFERROR(__xludf.DUMMYFUNCTION("""COMPUTED_VALUE"""),"CO10602")</f>
        <v>CO10602</v>
      </c>
      <c r="D362" s="19" t="str">
        <f>IFERROR(__xludf.DUMMYFUNCTION("""COMPUTED_VALUE"""),"RPT_San Pedro de Quiles")</f>
        <v>RPT_San Pedro de Quiles</v>
      </c>
      <c r="E362" s="19" t="str">
        <f>IFERROR(__xludf.DUMMYFUNCTION("""COMPUTED_VALUE"""),"DETENIDO SAC")</f>
        <v>DETENIDO SAC</v>
      </c>
      <c r="F362" s="19" t="str">
        <f>IFERROR(__xludf.DUMMYFUNCTION("""COMPUTED_VALUE"""),"VISITA")</f>
        <v>VISITA</v>
      </c>
      <c r="G362" s="19" t="str">
        <f>IFERROR(__xludf.DUMMYFUNCTION("""COMPUTED_VALUE"""),"AS42")</f>
        <v>AS42</v>
      </c>
      <c r="H362" s="19" t="str">
        <f>IFERROR(__xludf.DUMMYFUNCTION("""COMPUTED_VALUE"""),"DEITEL")</f>
        <v>DEITEL</v>
      </c>
      <c r="I362" s="19" t="str">
        <f>IFERROR(__xludf.DUMMYFUNCTION("""COMPUTED_VALUE"""),"Terminada")</f>
        <v>Terminada</v>
      </c>
      <c r="J362" s="20">
        <f>IFERROR(__xludf.DUMMYFUNCTION("""COMPUTED_VALUE"""),44720.0)</f>
        <v>44720</v>
      </c>
      <c r="K362" s="19" t="str">
        <f>IFERROR(__xludf.DUMMYFUNCTION("""COMPUTED_VALUE"""),"Terminada")</f>
        <v>Terminada</v>
      </c>
      <c r="L362" s="20">
        <f>IFERROR(__xludf.DUMMYFUNCTION("""COMPUTED_VALUE"""),44784.0)</f>
        <v>44784</v>
      </c>
      <c r="M362" s="19" t="str">
        <f>IFERROR(__xludf.DUMMYFUNCTION("""COMPUTED_VALUE"""),"LLOO_3")</f>
        <v>LLOO_3</v>
      </c>
      <c r="N362" s="19" t="str">
        <f>IFERROR(__xludf.DUMMYFUNCTION("""COMPUTED_VALUE"""),"PRIORIDAD 3 Q1 2024 MARZO")</f>
        <v>PRIORIDAD 3 Q1 2024 MARZO</v>
      </c>
    </row>
    <row r="363" ht="15.75" customHeight="1">
      <c r="A363" s="19" t="str">
        <f>IFERROR(__xludf.DUMMYFUNCTION("""COMPUTED_VALUE"""),"AB_11138")</f>
        <v>AB_11138</v>
      </c>
      <c r="B363" s="19" t="str">
        <f>IFERROR(__xludf.DUMMYFUNCTION("""COMPUTED_VALUE"""),"AB_11138_A")</f>
        <v>AB_11138_A</v>
      </c>
      <c r="C363" s="19" t="str">
        <f>IFERROR(__xludf.DUMMYFUNCTION("""COMPUTED_VALUE"""),"CO11138")</f>
        <v>CO11138</v>
      </c>
      <c r="D363" s="19" t="str">
        <f>IFERROR(__xludf.DUMMYFUNCTION("""COMPUTED_VALUE"""),"RPT Pasivo Pelambres")</f>
        <v>RPT Pasivo Pelambres</v>
      </c>
      <c r="E363" s="19" t="str">
        <f>IFERROR(__xludf.DUMMYFUNCTION("""COMPUTED_VALUE"""),"SITIO ASIGNADO")</f>
        <v>SITIO ASIGNADO</v>
      </c>
      <c r="F363" s="19"/>
      <c r="G363" s="19" t="str">
        <f>IFERROR(__xludf.DUMMYFUNCTION("""COMPUTED_VALUE"""),"CV18")</f>
        <v>CV18</v>
      </c>
      <c r="H363" s="19" t="str">
        <f>IFERROR(__xludf.DUMMYFUNCTION("""COMPUTED_VALUE"""),"ADM")</f>
        <v>ADM</v>
      </c>
      <c r="I363" s="19" t="str">
        <f>IFERROR(__xludf.DUMMYFUNCTION("""COMPUTED_VALUE"""),"Terminada")</f>
        <v>Terminada</v>
      </c>
      <c r="J363" s="20">
        <f>IFERROR(__xludf.DUMMYFUNCTION("""COMPUTED_VALUE"""),44774.0)</f>
        <v>44774</v>
      </c>
      <c r="K363" s="19" t="str">
        <f>IFERROR(__xludf.DUMMYFUNCTION("""COMPUTED_VALUE"""),"Terminada")</f>
        <v>Terminada</v>
      </c>
      <c r="L363" s="20">
        <f>IFERROR(__xludf.DUMMYFUNCTION("""COMPUTED_VALUE"""),44774.0)</f>
        <v>44774</v>
      </c>
      <c r="M363" s="19" t="str">
        <f>IFERROR(__xludf.DUMMYFUNCTION("""COMPUTED_VALUE"""),"LLOO_3")</f>
        <v>LLOO_3</v>
      </c>
      <c r="N363" s="19" t="str">
        <f>IFERROR(__xludf.DUMMYFUNCTION("""COMPUTED_VALUE"""),"PRIORIDAD 3 Q1 2024 MARZO")</f>
        <v>PRIORIDAD 3 Q1 2024 MARZO</v>
      </c>
    </row>
    <row r="364" ht="15.75" customHeight="1">
      <c r="A364" s="19" t="str">
        <f>IFERROR(__xludf.DUMMYFUNCTION("""COMPUTED_VALUE"""),"AB_11297")</f>
        <v>AB_11297</v>
      </c>
      <c r="B364" s="19" t="str">
        <f>IFERROR(__xludf.DUMMYFUNCTION("""COMPUTED_VALUE"""),"AB_11297_A")</f>
        <v>AB_11297_A</v>
      </c>
      <c r="C364" s="19" t="str">
        <f>IFERROR(__xludf.DUMMYFUNCTION("""COMPUTED_VALUE"""),"CO11297")</f>
        <v>CO11297</v>
      </c>
      <c r="D364" s="19" t="str">
        <f>IFERROR(__xludf.DUMMYFUNCTION("""COMPUTED_VALUE"""),"Andacollo Oriente 2")</f>
        <v>Andacollo Oriente 2</v>
      </c>
      <c r="E364" s="19" t="str">
        <f>IFERROR(__xludf.DUMMYFUNCTION("""COMPUTED_VALUE"""),"SITIO RFI")</f>
        <v>SITIO RFI</v>
      </c>
      <c r="F364" s="19" t="str">
        <f>IFERROR(__xludf.DUMMYFUNCTION("""COMPUTED_VALUE"""),"RFI")</f>
        <v>RFI</v>
      </c>
      <c r="G364" s="19" t="str">
        <f>IFERROR(__xludf.DUMMYFUNCTION("""COMPUTED_VALUE"""),"CV24")</f>
        <v>CV24</v>
      </c>
      <c r="H364" s="19" t="str">
        <f>IFERROR(__xludf.DUMMYFUNCTION("""COMPUTED_VALUE"""),"ADM")</f>
        <v>ADM</v>
      </c>
      <c r="I364" s="19" t="str">
        <f>IFERROR(__xludf.DUMMYFUNCTION("""COMPUTED_VALUE"""),"Entregada")</f>
        <v>Entregada</v>
      </c>
      <c r="J364" s="20">
        <f>IFERROR(__xludf.DUMMYFUNCTION("""COMPUTED_VALUE"""),44743.0)</f>
        <v>44743</v>
      </c>
      <c r="K364" s="19" t="str">
        <f>IFERROR(__xludf.DUMMYFUNCTION("""COMPUTED_VALUE"""),"Entregada")</f>
        <v>Entregada</v>
      </c>
      <c r="L364" s="20">
        <f>IFERROR(__xludf.DUMMYFUNCTION("""COMPUTED_VALUE"""),44743.0)</f>
        <v>44743</v>
      </c>
      <c r="M364" s="19" t="str">
        <f>IFERROR(__xludf.DUMMYFUNCTION("""COMPUTED_VALUE"""),"PCM_2")</f>
        <v>PCM_2</v>
      </c>
      <c r="N364" s="19" t="str">
        <f>IFERROR(__xludf.DUMMYFUNCTION("""COMPUTED_VALUE"""),"PRIORIDAD 1 Q3 2023 OCTUBRE")</f>
        <v>PRIORIDAD 1 Q3 2023 OCTUBRE</v>
      </c>
    </row>
    <row r="365" ht="15.75" customHeight="1">
      <c r="A365" s="19" t="str">
        <f>IFERROR(__xludf.DUMMYFUNCTION("""COMPUTED_VALUE"""),"AB_1141")</f>
        <v>AB_1141</v>
      </c>
      <c r="B365" s="19" t="str">
        <f>IFERROR(__xludf.DUMMYFUNCTION("""COMPUTED_VALUE"""),"AB_1141_G")</f>
        <v>AB_1141_G</v>
      </c>
      <c r="C365" s="19" t="str">
        <f>IFERROR(__xludf.DUMMYFUNCTION("""COMPUTED_VALUE"""),"CO1141")</f>
        <v>CO1141</v>
      </c>
      <c r="D365" s="19" t="str">
        <f>IFERROR(__xludf.DUMMYFUNCTION("""COMPUTED_VALUE"""),"Coquimbo Costanera Norte")</f>
        <v>Coquimbo Costanera Norte</v>
      </c>
      <c r="E365" s="19" t="str">
        <f>IFERROR(__xludf.DUMMYFUNCTION("""COMPUTED_VALUE"""),"SITIO RFI")</f>
        <v>SITIO RFI</v>
      </c>
      <c r="F365" s="19" t="str">
        <f>IFERROR(__xludf.DUMMYFUNCTION("""COMPUTED_VALUE"""),"RFI")</f>
        <v>RFI</v>
      </c>
      <c r="G365" s="19" t="str">
        <f>IFERROR(__xludf.DUMMYFUNCTION("""COMPUTED_VALUE"""),"MP R24")</f>
        <v>MP R24</v>
      </c>
      <c r="H365" s="19" t="str">
        <f>IFERROR(__xludf.DUMMYFUNCTION("""COMPUTED_VALUE"""),"MER")</f>
        <v>MER</v>
      </c>
      <c r="I365" s="19" t="str">
        <f>IFERROR(__xludf.DUMMYFUNCTION("""COMPUTED_VALUE"""),"Entregada")</f>
        <v>Entregada</v>
      </c>
      <c r="J365" s="20">
        <f>IFERROR(__xludf.DUMMYFUNCTION("""COMPUTED_VALUE"""),44578.0)</f>
        <v>44578</v>
      </c>
      <c r="K365" s="19" t="str">
        <f>IFERROR(__xludf.DUMMYFUNCTION("""COMPUTED_VALUE"""),"Entregada")</f>
        <v>Entregada</v>
      </c>
      <c r="L365" s="20">
        <f>IFERROR(__xludf.DUMMYFUNCTION("""COMPUTED_VALUE"""),44575.0)</f>
        <v>44575</v>
      </c>
      <c r="M365" s="19" t="str">
        <f>IFERROR(__xludf.DUMMYFUNCTION("""COMPUTED_VALUE"""),"N/A")</f>
        <v>N/A</v>
      </c>
      <c r="N365" s="19" t="str">
        <f>IFERROR(__xludf.DUMMYFUNCTION("""COMPUTED_VALUE"""),"x")</f>
        <v>x</v>
      </c>
    </row>
    <row r="366" ht="15.75" customHeight="1">
      <c r="A366" s="19" t="str">
        <f>IFERROR(__xludf.DUMMYFUNCTION("""COMPUTED_VALUE"""),"AB_11459")</f>
        <v>AB_11459</v>
      </c>
      <c r="B366" s="19" t="str">
        <f>IFERROR(__xludf.DUMMYFUNCTION("""COMPUTED_VALUE"""),"AB_11459_A")</f>
        <v>AB_11459_A</v>
      </c>
      <c r="C366" s="19" t="str">
        <f>IFERROR(__xludf.DUMMYFUNCTION("""COMPUTED_VALUE"""),"CO11459")</f>
        <v>CO11459</v>
      </c>
      <c r="D366" s="19" t="str">
        <f>IFERROR(__xludf.DUMMYFUNCTION("""COMPUTED_VALUE"""),"Morros de Vicuña Norte")</f>
        <v>Morros de Vicuña Norte</v>
      </c>
      <c r="E366" s="19" t="str">
        <f>IFERROR(__xludf.DUMMYFUNCTION("""COMPUTED_VALUE"""),"SITIO RFI")</f>
        <v>SITIO RFI</v>
      </c>
      <c r="F366" s="19" t="str">
        <f>IFERROR(__xludf.DUMMYFUNCTION("""COMPUTED_VALUE"""),"RFI")</f>
        <v>RFI</v>
      </c>
      <c r="G366" s="19" t="str">
        <f>IFERROR(__xludf.DUMMYFUNCTION("""COMPUTED_VALUE"""),"CV60")</f>
        <v>CV60</v>
      </c>
      <c r="H366" s="19" t="str">
        <f>IFERROR(__xludf.DUMMYFUNCTION("""COMPUTED_VALUE"""),"DEPROMET")</f>
        <v>DEPROMET</v>
      </c>
      <c r="I366" s="19" t="str">
        <f>IFERROR(__xludf.DUMMYFUNCTION("""COMPUTED_VALUE"""),"Entregada")</f>
        <v>Entregada</v>
      </c>
      <c r="J366" s="20">
        <f>IFERROR(__xludf.DUMMYFUNCTION("""COMPUTED_VALUE"""),44839.0)</f>
        <v>44839</v>
      </c>
      <c r="K366" s="19" t="str">
        <f>IFERROR(__xludf.DUMMYFUNCTION("""COMPUTED_VALUE"""),"Entregada")</f>
        <v>Entregada</v>
      </c>
      <c r="L366" s="20">
        <f>IFERROR(__xludf.DUMMYFUNCTION("""COMPUTED_VALUE"""),44861.0)</f>
        <v>44861</v>
      </c>
      <c r="M366" s="19" t="str">
        <f>IFERROR(__xludf.DUMMYFUNCTION("""COMPUTED_VALUE"""),"PCM_2")</f>
        <v>PCM_2</v>
      </c>
      <c r="N366" s="19" t="str">
        <f>IFERROR(__xludf.DUMMYFUNCTION("""COMPUTED_VALUE"""),"PRIORIDAD 1 Q3 2023 OCTUBRE")</f>
        <v>PRIORIDAD 1 Q3 2023 OCTUBRE</v>
      </c>
    </row>
    <row r="367" ht="15.75" customHeight="1">
      <c r="A367" s="19" t="str">
        <f>IFERROR(__xludf.DUMMYFUNCTION("""COMPUTED_VALUE"""),"AB_11460")</f>
        <v>AB_11460</v>
      </c>
      <c r="B367" s="19" t="str">
        <f>IFERROR(__xludf.DUMMYFUNCTION("""COMPUTED_VALUE"""),"AB_11460_B")</f>
        <v>AB_11460_B</v>
      </c>
      <c r="C367" s="19" t="str">
        <f>IFERROR(__xludf.DUMMYFUNCTION("""COMPUTED_VALUE"""),"CO11460")</f>
        <v>CO11460</v>
      </c>
      <c r="D367" s="19" t="str">
        <f>IFERROR(__xludf.DUMMYFUNCTION("""COMPUTED_VALUE"""),"Parcela Vega Sur RU")</f>
        <v>Parcela Vega Sur RU</v>
      </c>
      <c r="E367" s="19" t="str">
        <f>IFERROR(__xludf.DUMMYFUNCTION("""COMPUTED_VALUE"""),"SITIO CONSTRUIDO")</f>
        <v>SITIO CONSTRUIDO</v>
      </c>
      <c r="F367" s="19"/>
      <c r="G367" s="19" t="str">
        <f>IFERROR(__xludf.DUMMYFUNCTION("""COMPUTED_VALUE"""),"MP R24")</f>
        <v>MP R24</v>
      </c>
      <c r="H367" s="19" t="str">
        <f>IFERROR(__xludf.DUMMYFUNCTION("""COMPUTED_VALUE"""),"COMPRAS")</f>
        <v>COMPRAS</v>
      </c>
      <c r="I367" s="19"/>
      <c r="J367" s="19"/>
      <c r="K367" s="19"/>
      <c r="L367" s="19"/>
      <c r="M367" s="19" t="str">
        <f>IFERROR(__xludf.DUMMYFUNCTION("""COMPUTED_VALUE"""),"PCM_4")</f>
        <v>PCM_4</v>
      </c>
      <c r="N367" s="19" t="str">
        <f>IFERROR(__xludf.DUMMYFUNCTION("""COMPUTED_VALUE"""),"PRIORIDAD 3 Q1 2024 MARZO")</f>
        <v>PRIORIDAD 3 Q1 2024 MARZO</v>
      </c>
    </row>
    <row r="368" ht="15.75" customHeight="1">
      <c r="A368" s="19" t="str">
        <f>IFERROR(__xludf.DUMMYFUNCTION("""COMPUTED_VALUE"""),"AB_11492")</f>
        <v>AB_11492</v>
      </c>
      <c r="B368" s="19" t="str">
        <f>IFERROR(__xludf.DUMMYFUNCTION("""COMPUTED_VALUE"""),"AB_11492_C")</f>
        <v>AB_11492_C</v>
      </c>
      <c r="C368" s="19" t="str">
        <f>IFERROR(__xludf.DUMMYFUNCTION("""COMPUTED_VALUE"""),"CO11492")</f>
        <v>CO11492</v>
      </c>
      <c r="D368" s="19" t="str">
        <f>IFERROR(__xludf.DUMMYFUNCTION("""COMPUTED_VALUE"""),"El Peral de Punitaqui")</f>
        <v>El Peral de Punitaqui</v>
      </c>
      <c r="E368" s="19" t="str">
        <f>IFERROR(__xludf.DUMMYFUNCTION("""COMPUTED_VALUE"""),"EN VALIDACION COMPRAS")</f>
        <v>EN VALIDACION COMPRAS</v>
      </c>
      <c r="F368" s="19"/>
      <c r="G368" s="19" t="str">
        <f>IFERROR(__xludf.DUMMYFUNCTION("""COMPUTED_VALUE"""),"CV36")</f>
        <v>CV36</v>
      </c>
      <c r="H368" s="19" t="str">
        <f>IFERROR(__xludf.DUMMYFUNCTION("""COMPUTED_VALUE"""),"DEITEL")</f>
        <v>DEITEL</v>
      </c>
      <c r="I368" s="19" t="str">
        <f>IFERROR(__xludf.DUMMYFUNCTION("""COMPUTED_VALUE"""),"Terminada")</f>
        <v>Terminada</v>
      </c>
      <c r="J368" s="20">
        <f>IFERROR(__xludf.DUMMYFUNCTION("""COMPUTED_VALUE"""),44874.0)</f>
        <v>44874</v>
      </c>
      <c r="K368" s="19" t="str">
        <f>IFERROR(__xludf.DUMMYFUNCTION("""COMPUTED_VALUE"""),"Terminada")</f>
        <v>Terminada</v>
      </c>
      <c r="L368" s="20">
        <f>IFERROR(__xludf.DUMMYFUNCTION("""COMPUTED_VALUE"""),44969.0)</f>
        <v>44969</v>
      </c>
      <c r="M368" s="19" t="str">
        <f>IFERROR(__xludf.DUMMYFUNCTION("""COMPUTED_VALUE"""),"PCM_2")</f>
        <v>PCM_2</v>
      </c>
      <c r="N368" s="19" t="str">
        <f>IFERROR(__xludf.DUMMYFUNCTION("""COMPUTED_VALUE"""),"PRIORIDAD 1 Q3 2023 OCTUBRE")</f>
        <v>PRIORIDAD 1 Q3 2023 OCTUBRE</v>
      </c>
    </row>
    <row r="369" ht="15.75" customHeight="1">
      <c r="A369" s="19" t="str">
        <f>IFERROR(__xludf.DUMMYFUNCTION("""COMPUTED_VALUE"""),"AB_11684")</f>
        <v>AB_11684</v>
      </c>
      <c r="B369" s="19" t="str">
        <f>IFERROR(__xludf.DUMMYFUNCTION("""COMPUTED_VALUE"""),"AB_11684_A")</f>
        <v>AB_11684_A</v>
      </c>
      <c r="C369" s="19" t="str">
        <f>IFERROR(__xludf.DUMMYFUNCTION("""COMPUTED_VALUE"""),"CO11684")</f>
        <v>CO11684</v>
      </c>
      <c r="D369" s="19" t="str">
        <f>IFERROR(__xludf.DUMMYFUNCTION("""COMPUTED_VALUE"""),"RPT Balada")</f>
        <v>RPT Balada</v>
      </c>
      <c r="E369" s="19" t="str">
        <f>IFERROR(__xludf.DUMMYFUNCTION("""COMPUTED_VALUE"""),"SITIO ASIGNADO")</f>
        <v>SITIO ASIGNADO</v>
      </c>
      <c r="F369" s="19"/>
      <c r="G369" s="19" t="str">
        <f>IFERROR(__xludf.DUMMYFUNCTION("""COMPUTED_VALUE"""),"CV60")</f>
        <v>CV60</v>
      </c>
      <c r="H369" s="19" t="str">
        <f>IFERROR(__xludf.DUMMYFUNCTION("""COMPUTED_VALUE"""),"DEPROMET")</f>
        <v>DEPROMET</v>
      </c>
      <c r="I369" s="19" t="str">
        <f>IFERROR(__xludf.DUMMYFUNCTION("""COMPUTED_VALUE"""),"Terminada")</f>
        <v>Terminada</v>
      </c>
      <c r="J369" s="20">
        <f>IFERROR(__xludf.DUMMYFUNCTION("""COMPUTED_VALUE"""),45001.0)</f>
        <v>45001</v>
      </c>
      <c r="K369" s="19" t="str">
        <f>IFERROR(__xludf.DUMMYFUNCTION("""COMPUTED_VALUE"""),"Por pintar ")</f>
        <v>Por pintar </v>
      </c>
      <c r="L369" s="20">
        <f>IFERROR(__xludf.DUMMYFUNCTION("""COMPUTED_VALUE"""),45058.0)</f>
        <v>45058</v>
      </c>
      <c r="M369" s="19" t="str">
        <f>IFERROR(__xludf.DUMMYFUNCTION("""COMPUTED_VALUE"""),"PP_3")</f>
        <v>PP_3</v>
      </c>
      <c r="N369" s="19" t="str">
        <f>IFERROR(__xludf.DUMMYFUNCTION("""COMPUTED_VALUE"""),"PRIORIDAD 3 Q1 2024 MARZO")</f>
        <v>PRIORIDAD 3 Q1 2024 MARZO</v>
      </c>
    </row>
    <row r="370" ht="15.75" customHeight="1">
      <c r="A370" s="19" t="str">
        <f>IFERROR(__xludf.DUMMYFUNCTION("""COMPUTED_VALUE"""),"AB_11685")</f>
        <v>AB_11685</v>
      </c>
      <c r="B370" s="19" t="str">
        <f>IFERROR(__xludf.DUMMYFUNCTION("""COMPUTED_VALUE"""),"AB_11685_A")</f>
        <v>AB_11685_A</v>
      </c>
      <c r="C370" s="19" t="str">
        <f>IFERROR(__xludf.DUMMYFUNCTION("""COMPUTED_VALUE"""),"CO11685")</f>
        <v>CO11685</v>
      </c>
      <c r="D370" s="19" t="str">
        <f>IFERROR(__xludf.DUMMYFUNCTION("""COMPUTED_VALUE"""),"RPT Aguas del Volcán")</f>
        <v>RPT Aguas del Volcán</v>
      </c>
      <c r="E370" s="19" t="str">
        <f>IFERROR(__xludf.DUMMYFUNCTION("""COMPUTED_VALUE"""),"SITIO RFC")</f>
        <v>SITIO RFC</v>
      </c>
      <c r="F370" s="19"/>
      <c r="G370" s="19" t="str">
        <f>IFERROR(__xludf.DUMMYFUNCTION("""COMPUTED_VALUE"""),"AS48")</f>
        <v>AS48</v>
      </c>
      <c r="H370" s="19" t="str">
        <f>IFERROR(__xludf.DUMMYFUNCTION("""COMPUTED_VALUE"""),"SYC")</f>
        <v>SYC</v>
      </c>
      <c r="I370" s="19" t="str">
        <f>IFERROR(__xludf.DUMMYFUNCTION("""COMPUTED_VALUE"""),"En fabricacion")</f>
        <v>En fabricacion</v>
      </c>
      <c r="J370" s="20">
        <f>IFERROR(__xludf.DUMMYFUNCTION("""COMPUTED_VALUE"""),45156.0)</f>
        <v>45156</v>
      </c>
      <c r="K370" s="19" t="str">
        <f>IFERROR(__xludf.DUMMYFUNCTION("""COMPUTED_VALUE"""),"Asignada")</f>
        <v>Asignada</v>
      </c>
      <c r="L370" s="20">
        <f>IFERROR(__xludf.DUMMYFUNCTION("""COMPUTED_VALUE"""),45170.0)</f>
        <v>45170</v>
      </c>
      <c r="M370" s="19" t="str">
        <f>IFERROR(__xludf.DUMMYFUNCTION("""COMPUTED_VALUE"""),"PP_3")</f>
        <v>PP_3</v>
      </c>
      <c r="N370" s="19" t="str">
        <f>IFERROR(__xludf.DUMMYFUNCTION("""COMPUTED_VALUE"""),"PRIORIDAD 3 Q1 2024 MARZO")</f>
        <v>PRIORIDAD 3 Q1 2024 MARZO</v>
      </c>
    </row>
    <row r="371" ht="15.75" customHeight="1">
      <c r="A371" s="19" t="str">
        <f>IFERROR(__xludf.DUMMYFUNCTION("""COMPUTED_VALUE"""),"AB_11686")</f>
        <v>AB_11686</v>
      </c>
      <c r="B371" s="19" t="str">
        <f>IFERROR(__xludf.DUMMYFUNCTION("""COMPUTED_VALUE"""),"AB_11686_A")</f>
        <v>AB_11686_A</v>
      </c>
      <c r="C371" s="19" t="str">
        <f>IFERROR(__xludf.DUMMYFUNCTION("""COMPUTED_VALUE"""),"CO11686")</f>
        <v>CO11686</v>
      </c>
      <c r="D371" s="19" t="str">
        <f>IFERROR(__xludf.DUMMYFUNCTION("""COMPUTED_VALUE"""),"RPT Vista Hermosa")</f>
        <v>RPT Vista Hermosa</v>
      </c>
      <c r="E371" s="19" t="str">
        <f>IFERROR(__xludf.DUMMYFUNCTION("""COMPUTED_VALUE"""),"SITIO RFC")</f>
        <v>SITIO RFC</v>
      </c>
      <c r="F371" s="19"/>
      <c r="G371" s="19" t="str">
        <f>IFERROR(__xludf.DUMMYFUNCTION("""COMPUTED_VALUE"""),"AS60")</f>
        <v>AS60</v>
      </c>
      <c r="H371" s="19" t="str">
        <f>IFERROR(__xludf.DUMMYFUNCTION("""COMPUTED_VALUE"""),"MER")</f>
        <v>MER</v>
      </c>
      <c r="I371" s="19" t="str">
        <f>IFERROR(__xludf.DUMMYFUNCTION("""COMPUTED_VALUE"""),"Terminada")</f>
        <v>Terminada</v>
      </c>
      <c r="J371" s="20">
        <f>IFERROR(__xludf.DUMMYFUNCTION("""COMPUTED_VALUE"""),44881.0)</f>
        <v>44881</v>
      </c>
      <c r="K371" s="19" t="str">
        <f>IFERROR(__xludf.DUMMYFUNCTION("""COMPUTED_VALUE"""),"Por pintar ")</f>
        <v>Por pintar </v>
      </c>
      <c r="L371" s="20">
        <f>IFERROR(__xludf.DUMMYFUNCTION("""COMPUTED_VALUE"""),44890.0)</f>
        <v>44890</v>
      </c>
      <c r="M371" s="19" t="str">
        <f>IFERROR(__xludf.DUMMYFUNCTION("""COMPUTED_VALUE"""),"PP_3")</f>
        <v>PP_3</v>
      </c>
      <c r="N371" s="19" t="str">
        <f>IFERROR(__xludf.DUMMYFUNCTION("""COMPUTED_VALUE"""),"PRIORIDAD 3 Q1 2024 MARZO")</f>
        <v>PRIORIDAD 3 Q1 2024 MARZO</v>
      </c>
    </row>
    <row r="372" ht="15.75" customHeight="1">
      <c r="A372" s="19" t="str">
        <f>IFERROR(__xludf.DUMMYFUNCTION("""COMPUTED_VALUE"""),"AB_11687")</f>
        <v>AB_11687</v>
      </c>
      <c r="B372" s="19" t="str">
        <f>IFERROR(__xludf.DUMMYFUNCTION("""COMPUTED_VALUE"""),"AB_11687_A")</f>
        <v>AB_11687_A</v>
      </c>
      <c r="C372" s="19" t="str">
        <f>IFERROR(__xludf.DUMMYFUNCTION("""COMPUTED_VALUE"""),"CO11687")</f>
        <v>CO11687</v>
      </c>
      <c r="D372" s="19" t="str">
        <f>IFERROR(__xludf.DUMMYFUNCTION("""COMPUTED_VALUE"""),"RPT Cordillera")</f>
        <v>RPT Cordillera</v>
      </c>
      <c r="E372" s="19" t="str">
        <f>IFERROR(__xludf.DUMMYFUNCTION("""COMPUTED_VALUE"""),"SITIO ASIGNADO")</f>
        <v>SITIO ASIGNADO</v>
      </c>
      <c r="F372" s="19"/>
      <c r="G372" s="19" t="str">
        <f>IFERROR(__xludf.DUMMYFUNCTION("""COMPUTED_VALUE"""),"CV60")</f>
        <v>CV60</v>
      </c>
      <c r="H372" s="19" t="str">
        <f>IFERROR(__xludf.DUMMYFUNCTION("""COMPUTED_VALUE"""),"DEPROMET")</f>
        <v>DEPROMET</v>
      </c>
      <c r="I372" s="19" t="str">
        <f>IFERROR(__xludf.DUMMYFUNCTION("""COMPUTED_VALUE"""),"Terminada")</f>
        <v>Terminada</v>
      </c>
      <c r="J372" s="20">
        <f>IFERROR(__xludf.DUMMYFUNCTION("""COMPUTED_VALUE"""),45001.0)</f>
        <v>45001</v>
      </c>
      <c r="K372" s="19" t="str">
        <f>IFERROR(__xludf.DUMMYFUNCTION("""COMPUTED_VALUE"""),"Por pintar ")</f>
        <v>Por pintar </v>
      </c>
      <c r="L372" s="20">
        <f>IFERROR(__xludf.DUMMYFUNCTION("""COMPUTED_VALUE"""),45044.0)</f>
        <v>45044</v>
      </c>
      <c r="M372" s="19" t="str">
        <f>IFERROR(__xludf.DUMMYFUNCTION("""COMPUTED_VALUE"""),"PP_3")</f>
        <v>PP_3</v>
      </c>
      <c r="N372" s="19" t="str">
        <f>IFERROR(__xludf.DUMMYFUNCTION("""COMPUTED_VALUE"""),"PRIORIDAD 3 Q1 2024 MARZO")</f>
        <v>PRIORIDAD 3 Q1 2024 MARZO</v>
      </c>
    </row>
    <row r="373" ht="15.75" customHeight="1">
      <c r="A373" s="19" t="str">
        <f>IFERROR(__xludf.DUMMYFUNCTION("""COMPUTED_VALUE"""),"AB_11688")</f>
        <v>AB_11688</v>
      </c>
      <c r="B373" s="19" t="str">
        <f>IFERROR(__xludf.DUMMYFUNCTION("""COMPUTED_VALUE"""),"AB_11688_A")</f>
        <v>AB_11688_A</v>
      </c>
      <c r="C373" s="19" t="str">
        <f>IFERROR(__xludf.DUMMYFUNCTION("""COMPUTED_VALUE"""),"CO11688")</f>
        <v>CO11688</v>
      </c>
      <c r="D373" s="19" t="str">
        <f>IFERROR(__xludf.DUMMYFUNCTION("""COMPUTED_VALUE"""),"RPT Frontera")</f>
        <v>RPT Frontera</v>
      </c>
      <c r="E373" s="19" t="str">
        <f>IFERROR(__xludf.DUMMYFUNCTION("""COMPUTED_VALUE"""),"SITIO ASIGNADO")</f>
        <v>SITIO ASIGNADO</v>
      </c>
      <c r="F373" s="19"/>
      <c r="G373" s="19" t="str">
        <f>IFERROR(__xludf.DUMMYFUNCTION("""COMPUTED_VALUE"""),"CV60 (H)")</f>
        <v>CV60 (H)</v>
      </c>
      <c r="H373" s="19" t="str">
        <f>IFERROR(__xludf.DUMMYFUNCTION("""COMPUTED_VALUE"""),"DEPROMET")</f>
        <v>DEPROMET</v>
      </c>
      <c r="I373" s="19" t="str">
        <f>IFERROR(__xludf.DUMMYFUNCTION("""COMPUTED_VALUE"""),"Terminada")</f>
        <v>Terminada</v>
      </c>
      <c r="J373" s="20">
        <f>IFERROR(__xludf.DUMMYFUNCTION("""COMPUTED_VALUE"""),45082.0)</f>
        <v>45082</v>
      </c>
      <c r="K373" s="19" t="str">
        <f>IFERROR(__xludf.DUMMYFUNCTION("""COMPUTED_VALUE"""),"Por pintar ")</f>
        <v>Por pintar </v>
      </c>
      <c r="L373" s="20">
        <f>IFERROR(__xludf.DUMMYFUNCTION("""COMPUTED_VALUE"""),45082.0)</f>
        <v>45082</v>
      </c>
      <c r="M373" s="19" t="str">
        <f>IFERROR(__xludf.DUMMYFUNCTION("""COMPUTED_VALUE"""),"PP_3")</f>
        <v>PP_3</v>
      </c>
      <c r="N373" s="19" t="str">
        <f>IFERROR(__xludf.DUMMYFUNCTION("""COMPUTED_VALUE"""),"PRIORIDAD 3 Q1 2024 MARZO")</f>
        <v>PRIORIDAD 3 Q1 2024 MARZO</v>
      </c>
    </row>
    <row r="374" ht="15.75" customHeight="1">
      <c r="A374" s="19" t="str">
        <f>IFERROR(__xludf.DUMMYFUNCTION("""COMPUTED_VALUE"""),"AB_1650")</f>
        <v>AB_1650</v>
      </c>
      <c r="B374" s="19" t="str">
        <f>IFERROR(__xludf.DUMMYFUNCTION("""COMPUTED_VALUE"""),"AB_1650_C")</f>
        <v>AB_1650_C</v>
      </c>
      <c r="C374" s="19" t="str">
        <f>IFERROR(__xludf.DUMMYFUNCTION("""COMPUTED_VALUE"""),"CO1650")</f>
        <v>CO1650</v>
      </c>
      <c r="D374" s="19" t="str">
        <f>IFERROR(__xludf.DUMMYFUNCTION("""COMPUTED_VALUE"""),"Chillepin Pueblo")</f>
        <v>Chillepin Pueblo</v>
      </c>
      <c r="E374" s="19" t="str">
        <f>IFERROR(__xludf.DUMMYFUNCTION("""COMPUTED_VALUE"""),"SITIO PENDIENTE")</f>
        <v>SITIO PENDIENTE</v>
      </c>
      <c r="F374" s="19"/>
      <c r="G374" s="19" t="str">
        <f>IFERROR(__xludf.DUMMYFUNCTION("""COMPUTED_VALUE"""),"CV30")</f>
        <v>CV30</v>
      </c>
      <c r="H374" s="19" t="str">
        <f>IFERROR(__xludf.DUMMYFUNCTION("""COMPUTED_VALUE"""),"MER")</f>
        <v>MER</v>
      </c>
      <c r="I374" s="19" t="str">
        <f>IFERROR(__xludf.DUMMYFUNCTION("""COMPUTED_VALUE"""),"Terminada")</f>
        <v>Terminada</v>
      </c>
      <c r="J374" s="20">
        <f>IFERROR(__xludf.DUMMYFUNCTION("""COMPUTED_VALUE"""),45051.0)</f>
        <v>45051</v>
      </c>
      <c r="K374" s="19" t="str">
        <f>IFERROR(__xludf.DUMMYFUNCTION("""COMPUTED_VALUE"""),"Por pintar ")</f>
        <v>Por pintar </v>
      </c>
      <c r="L374" s="20">
        <f>IFERROR(__xludf.DUMMYFUNCTION("""COMPUTED_VALUE"""),45054.0)</f>
        <v>45054</v>
      </c>
      <c r="M374" s="19" t="str">
        <f>IFERROR(__xludf.DUMMYFUNCTION("""COMPUTED_VALUE"""),"PCM")</f>
        <v>PCM</v>
      </c>
      <c r="N374" s="19" t="str">
        <f>IFERROR(__xludf.DUMMYFUNCTION("""COMPUTED_VALUE"""),"PRIORIDAD 3 Q1 2024 MARZO")</f>
        <v>PRIORIDAD 3 Q1 2024 MARZO</v>
      </c>
    </row>
    <row r="375" ht="15.75" customHeight="1">
      <c r="A375" s="19" t="str">
        <f>IFERROR(__xludf.DUMMYFUNCTION("""COMPUTED_VALUE"""),"AB_1683")</f>
        <v>AB_1683</v>
      </c>
      <c r="B375" s="19" t="str">
        <f>IFERROR(__xludf.DUMMYFUNCTION("""COMPUTED_VALUE"""),"AB_1683_C")</f>
        <v>AB_1683_C</v>
      </c>
      <c r="C375" s="19" t="str">
        <f>IFERROR(__xludf.DUMMYFUNCTION("""COMPUTED_VALUE"""),"CO1683")</f>
        <v>CO1683</v>
      </c>
      <c r="D375" s="19" t="str">
        <f>IFERROR(__xludf.DUMMYFUNCTION("""COMPUTED_VALUE"""),"El Trapiche")</f>
        <v>El Trapiche</v>
      </c>
      <c r="E375" s="19" t="str">
        <f>IFERROR(__xludf.DUMMYFUNCTION("""COMPUTED_VALUE"""),"SITIO RFI")</f>
        <v>SITIO RFI</v>
      </c>
      <c r="F375" s="19" t="str">
        <f>IFERROR(__xludf.DUMMYFUNCTION("""COMPUTED_VALUE"""),"RFI")</f>
        <v>RFI</v>
      </c>
      <c r="G375" s="19" t="str">
        <f>IFERROR(__xludf.DUMMYFUNCTION("""COMPUTED_VALUE"""),"AS42")</f>
        <v>AS42</v>
      </c>
      <c r="H375" s="19" t="str">
        <f>IFERROR(__xludf.DUMMYFUNCTION("""COMPUTED_VALUE"""),"MER")</f>
        <v>MER</v>
      </c>
      <c r="I375" s="19" t="str">
        <f>IFERROR(__xludf.DUMMYFUNCTION("""COMPUTED_VALUE"""),"Entregada")</f>
        <v>Entregada</v>
      </c>
      <c r="J375" s="20">
        <f>IFERROR(__xludf.DUMMYFUNCTION("""COMPUTED_VALUE"""),44697.0)</f>
        <v>44697</v>
      </c>
      <c r="K375" s="19" t="str">
        <f>IFERROR(__xludf.DUMMYFUNCTION("""COMPUTED_VALUE"""),"Entregada")</f>
        <v>Entregada</v>
      </c>
      <c r="L375" s="20">
        <f>IFERROR(__xludf.DUMMYFUNCTION("""COMPUTED_VALUE"""),44742.0)</f>
        <v>44742</v>
      </c>
      <c r="M375" s="19" t="str">
        <f>IFERROR(__xludf.DUMMYFUNCTION("""COMPUTED_VALUE"""),"PCM")</f>
        <v>PCM</v>
      </c>
      <c r="N375" s="19" t="str">
        <f>IFERROR(__xludf.DUMMYFUNCTION("""COMPUTED_VALUE"""),"PRIORIDAD 1 Q3 2023 OCTUBRE")</f>
        <v>PRIORIDAD 1 Q3 2023 OCTUBRE</v>
      </c>
    </row>
    <row r="376" ht="15.75" customHeight="1">
      <c r="A376" s="19" t="str">
        <f>IFERROR(__xludf.DUMMYFUNCTION("""COMPUTED_VALUE"""),"AB_1736")</f>
        <v>AB_1736</v>
      </c>
      <c r="B376" s="19" t="str">
        <f>IFERROR(__xludf.DUMMYFUNCTION("""COMPUTED_VALUE"""),"AB_1736_B")</f>
        <v>AB_1736_B</v>
      </c>
      <c r="C376" s="19" t="str">
        <f>IFERROR(__xludf.DUMMYFUNCTION("""COMPUTED_VALUE"""),"CO1736")</f>
        <v>CO1736</v>
      </c>
      <c r="D376" s="19" t="str">
        <f>IFERROR(__xludf.DUMMYFUNCTION("""COMPUTED_VALUE"""),"Rio Cogoti La Isla")</f>
        <v>Rio Cogoti La Isla</v>
      </c>
      <c r="E376" s="19" t="str">
        <f>IFERROR(__xludf.DUMMYFUNCTION("""COMPUTED_VALUE"""),"SITIO RFI")</f>
        <v>SITIO RFI</v>
      </c>
      <c r="F376" s="19" t="str">
        <f>IFERROR(__xludf.DUMMYFUNCTION("""COMPUTED_VALUE"""),"RFI")</f>
        <v>RFI</v>
      </c>
      <c r="G376" s="19" t="str">
        <f>IFERROR(__xludf.DUMMYFUNCTION("""COMPUTED_VALUE"""),"CV24")</f>
        <v>CV24</v>
      </c>
      <c r="H376" s="19" t="str">
        <f>IFERROR(__xludf.DUMMYFUNCTION("""COMPUTED_VALUE"""),"ADM")</f>
        <v>ADM</v>
      </c>
      <c r="I376" s="19" t="str">
        <f>IFERROR(__xludf.DUMMYFUNCTION("""COMPUTED_VALUE"""),"Entregada")</f>
        <v>Entregada</v>
      </c>
      <c r="J376" s="20">
        <f>IFERROR(__xludf.DUMMYFUNCTION("""COMPUTED_VALUE"""),44743.0)</f>
        <v>44743</v>
      </c>
      <c r="K376" s="19" t="str">
        <f>IFERROR(__xludf.DUMMYFUNCTION("""COMPUTED_VALUE"""),"Entregada")</f>
        <v>Entregada</v>
      </c>
      <c r="L376" s="20">
        <f>IFERROR(__xludf.DUMMYFUNCTION("""COMPUTED_VALUE"""),44743.0)</f>
        <v>44743</v>
      </c>
      <c r="M376" s="19" t="str">
        <f>IFERROR(__xludf.DUMMYFUNCTION("""COMPUTED_VALUE"""),"PCM")</f>
        <v>PCM</v>
      </c>
      <c r="N376" s="19" t="str">
        <f>IFERROR(__xludf.DUMMYFUNCTION("""COMPUTED_VALUE"""),"PRIORIDAD 1 Q3 2023 OCTUBRE")</f>
        <v>PRIORIDAD 1 Q3 2023 OCTUBRE</v>
      </c>
    </row>
    <row r="377" ht="15.75" customHeight="1">
      <c r="A377" s="19" t="str">
        <f>IFERROR(__xludf.DUMMYFUNCTION("""COMPUTED_VALUE"""),"AB_2303")</f>
        <v>AB_2303</v>
      </c>
      <c r="B377" s="19" t="str">
        <f>IFERROR(__xludf.DUMMYFUNCTION("""COMPUTED_VALUE"""),"AB_2303_G")</f>
        <v>AB_2303_G</v>
      </c>
      <c r="C377" s="19" t="str">
        <f>IFERROR(__xludf.DUMMYFUNCTION("""COMPUTED_VALUE"""),"CO2303")</f>
        <v>CO2303</v>
      </c>
      <c r="D377" s="19" t="str">
        <f>IFERROR(__xludf.DUMMYFUNCTION("""COMPUTED_VALUE"""),"Monte Grande")</f>
        <v>Monte Grande</v>
      </c>
      <c r="E377" s="19" t="str">
        <f>IFERROR(__xludf.DUMMYFUNCTION("""COMPUTED_VALUE"""),"SITIO EN CONSTRUCCION")</f>
        <v>SITIO EN CONSTRUCCION</v>
      </c>
      <c r="F377" s="19" t="str">
        <f>IFERROR(__xludf.DUMMYFUNCTION("""COMPUTED_VALUE"""),"VISITA")</f>
        <v>VISITA</v>
      </c>
      <c r="G377" s="19" t="str">
        <f>IFERROR(__xludf.DUMMYFUNCTION("""COMPUTED_VALUE"""),"CV48")</f>
        <v>CV48</v>
      </c>
      <c r="H377" s="19" t="str">
        <f>IFERROR(__xludf.DUMMYFUNCTION("""COMPUTED_VALUE"""),"MER")</f>
        <v>MER</v>
      </c>
      <c r="I377" s="19" t="str">
        <f>IFERROR(__xludf.DUMMYFUNCTION("""COMPUTED_VALUE"""),"Terminada")</f>
        <v>Terminada</v>
      </c>
      <c r="J377" s="20">
        <f>IFERROR(__xludf.DUMMYFUNCTION("""COMPUTED_VALUE"""),45051.0)</f>
        <v>45051</v>
      </c>
      <c r="K377" s="19" t="str">
        <f>IFERROR(__xludf.DUMMYFUNCTION("""COMPUTED_VALUE"""),"Por pintar ")</f>
        <v>Por pintar </v>
      </c>
      <c r="L377" s="20">
        <f>IFERROR(__xludf.DUMMYFUNCTION("""COMPUTED_VALUE"""),45054.0)</f>
        <v>45054</v>
      </c>
      <c r="M377" s="19" t="str">
        <f>IFERROR(__xludf.DUMMYFUNCTION("""COMPUTED_VALUE"""),"PCM")</f>
        <v>PCM</v>
      </c>
      <c r="N377" s="19" t="str">
        <f>IFERROR(__xludf.DUMMYFUNCTION("""COMPUTED_VALUE"""),"PRIORIDAD 1 Q3 2023 OCTUBRE")</f>
        <v>PRIORIDAD 1 Q3 2023 OCTUBRE</v>
      </c>
    </row>
    <row r="378" ht="15.75" customHeight="1">
      <c r="A378" s="19" t="str">
        <f>IFERROR(__xludf.DUMMYFUNCTION("""COMPUTED_VALUE"""),"AB_2669")</f>
        <v>AB_2669</v>
      </c>
      <c r="B378" s="19" t="str">
        <f>IFERROR(__xludf.DUMMYFUNCTION("""COMPUTED_VALUE"""),"AB_2669_E")</f>
        <v>AB_2669_E</v>
      </c>
      <c r="C378" s="19" t="str">
        <f>IFERROR(__xludf.DUMMYFUNCTION("""COMPUTED_VALUE"""),"CO2669")</f>
        <v>CO2669</v>
      </c>
      <c r="D378" s="19" t="str">
        <f>IFERROR(__xludf.DUMMYFUNCTION("""COMPUTED_VALUE"""),"Chillepin")</f>
        <v>Chillepin</v>
      </c>
      <c r="E378" s="19" t="str">
        <f>IFERROR(__xludf.DUMMYFUNCTION("""COMPUTED_VALUE"""),"SITIO RFI")</f>
        <v>SITIO RFI</v>
      </c>
      <c r="F378" s="19" t="str">
        <f>IFERROR(__xludf.DUMMYFUNCTION("""COMPUTED_VALUE"""),"RFI")</f>
        <v>RFI</v>
      </c>
      <c r="G378" s="19" t="str">
        <f>IFERROR(__xludf.DUMMYFUNCTION("""COMPUTED_VALUE"""),"x")</f>
        <v>x</v>
      </c>
      <c r="H378" s="19" t="str">
        <f>IFERROR(__xludf.DUMMYFUNCTION("""COMPUTED_VALUE"""),"x")</f>
        <v>x</v>
      </c>
      <c r="I378" s="19" t="str">
        <f>IFERROR(__xludf.DUMMYFUNCTION("""COMPUTED_VALUE"""),"x")</f>
        <v>x</v>
      </c>
      <c r="J378" s="20" t="str">
        <f>IFERROR(__xludf.DUMMYFUNCTION("""COMPUTED_VALUE"""),"x")</f>
        <v>x</v>
      </c>
      <c r="K378" s="19" t="str">
        <f>IFERROR(__xludf.DUMMYFUNCTION("""COMPUTED_VALUE"""),"x")</f>
        <v>x</v>
      </c>
      <c r="L378" s="20" t="str">
        <f>IFERROR(__xludf.DUMMYFUNCTION("""COMPUTED_VALUE"""),"x")</f>
        <v>x</v>
      </c>
      <c r="M378" s="19" t="str">
        <f>IFERROR(__xludf.DUMMYFUNCTION("""COMPUTED_VALUE"""),"PP")</f>
        <v>PP</v>
      </c>
      <c r="N378" s="19" t="str">
        <f>IFERROR(__xludf.DUMMYFUNCTION("""COMPUTED_VALUE"""),"PRIORIDAD 1 Q3 2023 OCTUBRE")</f>
        <v>PRIORIDAD 1 Q3 2023 OCTUBRE</v>
      </c>
    </row>
    <row r="379" ht="15.75" customHeight="1">
      <c r="A379" s="19" t="str">
        <f>IFERROR(__xludf.DUMMYFUNCTION("""COMPUTED_VALUE"""),"AB_3374")</f>
        <v>AB_3374</v>
      </c>
      <c r="B379" s="19" t="str">
        <f>IFERROR(__xludf.DUMMYFUNCTION("""COMPUTED_VALUE"""),"AB_3374_A")</f>
        <v>AB_3374_A</v>
      </c>
      <c r="C379" s="19" t="str">
        <f>IFERROR(__xludf.DUMMYFUNCTION("""COMPUTED_VALUE"""),"CO3374")</f>
        <v>CO3374</v>
      </c>
      <c r="D379" s="19" t="str">
        <f>IFERROR(__xludf.DUMMYFUNCTION("""COMPUTED_VALUE"""),"Las Breas")</f>
        <v>Las Breas</v>
      </c>
      <c r="E379" s="19" t="str">
        <f>IFERROR(__xludf.DUMMYFUNCTION("""COMPUTED_VALUE"""),"SITIO ASIGNADO")</f>
        <v>SITIO ASIGNADO</v>
      </c>
      <c r="F379" s="19"/>
      <c r="G379" s="19" t="str">
        <f>IFERROR(__xludf.DUMMYFUNCTION("""COMPUTED_VALUE"""),"CV60")</f>
        <v>CV60</v>
      </c>
      <c r="H379" s="19" t="str">
        <f>IFERROR(__xludf.DUMMYFUNCTION("""COMPUTED_VALUE"""),"DEPROMET")</f>
        <v>DEPROMET</v>
      </c>
      <c r="I379" s="19" t="str">
        <f>IFERROR(__xludf.DUMMYFUNCTION("""COMPUTED_VALUE"""),"Terminada")</f>
        <v>Terminada</v>
      </c>
      <c r="J379" s="20">
        <f>IFERROR(__xludf.DUMMYFUNCTION("""COMPUTED_VALUE"""),45001.0)</f>
        <v>45001</v>
      </c>
      <c r="K379" s="19" t="str">
        <f>IFERROR(__xludf.DUMMYFUNCTION("""COMPUTED_VALUE"""),"Terminada")</f>
        <v>Terminada</v>
      </c>
      <c r="L379" s="20">
        <f>IFERROR(__xludf.DUMMYFUNCTION("""COMPUTED_VALUE"""),45001.0)</f>
        <v>45001</v>
      </c>
      <c r="M379" s="19" t="str">
        <f>IFERROR(__xludf.DUMMYFUNCTION("""COMPUTED_VALUE"""),"PCM")</f>
        <v>PCM</v>
      </c>
      <c r="N379" s="19" t="str">
        <f>IFERROR(__xludf.DUMMYFUNCTION("""COMPUTED_VALUE"""),"PRIORIDAD 1 Q3 2023 OCTUBRE")</f>
        <v>PRIORIDAD 1 Q3 2023 OCTUBRE</v>
      </c>
    </row>
    <row r="380" ht="15.75" customHeight="1">
      <c r="A380" s="19" t="str">
        <f>IFERROR(__xludf.DUMMYFUNCTION("""COMPUTED_VALUE"""),"AB_3547")</f>
        <v>AB_3547</v>
      </c>
      <c r="B380" s="19" t="str">
        <f>IFERROR(__xludf.DUMMYFUNCTION("""COMPUTED_VALUE"""),"AB_3547_D")</f>
        <v>AB_3547_D</v>
      </c>
      <c r="C380" s="19" t="str">
        <f>IFERROR(__xludf.DUMMYFUNCTION("""COMPUTED_VALUE"""),"CO3547")</f>
        <v>CO3547</v>
      </c>
      <c r="D380" s="19" t="str">
        <f>IFERROR(__xludf.DUMMYFUNCTION("""COMPUTED_VALUE"""),"Mantos de Punitaqui")</f>
        <v>Mantos de Punitaqui</v>
      </c>
      <c r="E380" s="19" t="str">
        <f>IFERROR(__xludf.DUMMYFUNCTION("""COMPUTED_VALUE"""),"SITIO RFI")</f>
        <v>SITIO RFI</v>
      </c>
      <c r="F380" s="19" t="str">
        <f>IFERROR(__xludf.DUMMYFUNCTION("""COMPUTED_VALUE"""),"RFI")</f>
        <v>RFI</v>
      </c>
      <c r="G380" s="19" t="str">
        <f>IFERROR(__xludf.DUMMYFUNCTION("""COMPUTED_VALUE"""),"CV42")</f>
        <v>CV42</v>
      </c>
      <c r="H380" s="19" t="str">
        <f>IFERROR(__xludf.DUMMYFUNCTION("""COMPUTED_VALUE"""),"SyC")</f>
        <v>SyC</v>
      </c>
      <c r="I380" s="19" t="str">
        <f>IFERROR(__xludf.DUMMYFUNCTION("""COMPUTED_VALUE"""),"Entregada")</f>
        <v>Entregada</v>
      </c>
      <c r="J380" s="20">
        <f>IFERROR(__xludf.DUMMYFUNCTION("""COMPUTED_VALUE"""),44764.0)</f>
        <v>44764</v>
      </c>
      <c r="K380" s="19" t="str">
        <f>IFERROR(__xludf.DUMMYFUNCTION("""COMPUTED_VALUE"""),"Entregada")</f>
        <v>Entregada</v>
      </c>
      <c r="L380" s="20">
        <f>IFERROR(__xludf.DUMMYFUNCTION("""COMPUTED_VALUE"""),44816.0)</f>
        <v>44816</v>
      </c>
      <c r="M380" s="19" t="str">
        <f>IFERROR(__xludf.DUMMYFUNCTION("""COMPUTED_VALUE"""),"PCM")</f>
        <v>PCM</v>
      </c>
      <c r="N380" s="19" t="str">
        <f>IFERROR(__xludf.DUMMYFUNCTION("""COMPUTED_VALUE"""),"PRIORIDAD 1 Q3 2023 OCTUBRE")</f>
        <v>PRIORIDAD 1 Q3 2023 OCTUBRE</v>
      </c>
    </row>
    <row r="381" ht="15.75" customHeight="1">
      <c r="A381" s="19" t="str">
        <f>IFERROR(__xludf.DUMMYFUNCTION("""COMPUTED_VALUE"""),"AB_3554")</f>
        <v>AB_3554</v>
      </c>
      <c r="B381" s="19" t="str">
        <f>IFERROR(__xludf.DUMMYFUNCTION("""COMPUTED_VALUE"""),"AB_3554_F")</f>
        <v>AB_3554_F</v>
      </c>
      <c r="C381" s="19" t="str">
        <f>IFERROR(__xludf.DUMMYFUNCTION("""COMPUTED_VALUE"""),"CO3554")</f>
        <v>CO3554</v>
      </c>
      <c r="D381" s="19" t="str">
        <f>IFERROR(__xludf.DUMMYFUNCTION("""COMPUTED_VALUE"""),"Cuncumen")</f>
        <v>Cuncumen</v>
      </c>
      <c r="E381" s="19" t="str">
        <f>IFERROR(__xludf.DUMMYFUNCTION("""COMPUTED_VALUE"""),"SITIO PENDIENTE")</f>
        <v>SITIO PENDIENTE</v>
      </c>
      <c r="F381" s="19"/>
      <c r="G381" s="19" t="str">
        <f>IFERROR(__xludf.DUMMYFUNCTION("""COMPUTED_VALUE"""),"CV18")</f>
        <v>CV18</v>
      </c>
      <c r="H381" s="19" t="str">
        <f>IFERROR(__xludf.DUMMYFUNCTION("""COMPUTED_VALUE"""),"COMPRAS")</f>
        <v>COMPRAS</v>
      </c>
      <c r="I381" s="19"/>
      <c r="J381" s="19"/>
      <c r="K381" s="19"/>
      <c r="L381" s="19"/>
      <c r="M381" s="19" t="str">
        <f>IFERROR(__xludf.DUMMYFUNCTION("""COMPUTED_VALUE"""),"PCM")</f>
        <v>PCM</v>
      </c>
      <c r="N381" s="19" t="str">
        <f>IFERROR(__xludf.DUMMYFUNCTION("""COMPUTED_VALUE"""),"PRIORIDAD 3 Q1 2024 MARZO")</f>
        <v>PRIORIDAD 3 Q1 2024 MARZO</v>
      </c>
    </row>
    <row r="382" ht="15.75" customHeight="1">
      <c r="A382" s="19" t="str">
        <f>IFERROR(__xludf.DUMMYFUNCTION("""COMPUTED_VALUE"""),"AB_4039")</f>
        <v>AB_4039</v>
      </c>
      <c r="B382" s="19" t="str">
        <f>IFERROR(__xludf.DUMMYFUNCTION("""COMPUTED_VALUE"""),"AB_4039_B")</f>
        <v>AB_4039_B</v>
      </c>
      <c r="C382" s="19" t="str">
        <f>IFERROR(__xludf.DUMMYFUNCTION("""COMPUTED_VALUE"""),"CO4039")</f>
        <v>CO4039</v>
      </c>
      <c r="D382" s="19" t="str">
        <f>IFERROR(__xludf.DUMMYFUNCTION("""COMPUTED_VALUE"""),"Pachingo")</f>
        <v>Pachingo</v>
      </c>
      <c r="E382" s="19" t="str">
        <f>IFERROR(__xludf.DUMMYFUNCTION("""COMPUTED_VALUE"""),"SITIO EN CONSTRUCCION")</f>
        <v>SITIO EN CONSTRUCCION</v>
      </c>
      <c r="F382" s="19" t="str">
        <f>IFERROR(__xludf.DUMMYFUNCTION("""COMPUTED_VALUE"""),"ENFIERRADURA")</f>
        <v>ENFIERRADURA</v>
      </c>
      <c r="G382" s="19" t="str">
        <f>IFERROR(__xludf.DUMMYFUNCTION("""COMPUTED_VALUE"""),"CV60")</f>
        <v>CV60</v>
      </c>
      <c r="H382" s="19" t="str">
        <f>IFERROR(__xludf.DUMMYFUNCTION("""COMPUTED_VALUE"""),"DEPROMET")</f>
        <v>DEPROMET</v>
      </c>
      <c r="I382" s="19" t="str">
        <f>IFERROR(__xludf.DUMMYFUNCTION("""COMPUTED_VALUE"""),"Terminada")</f>
        <v>Terminada</v>
      </c>
      <c r="J382" s="20">
        <f>IFERROR(__xludf.DUMMYFUNCTION("""COMPUTED_VALUE"""),44839.0)</f>
        <v>44839</v>
      </c>
      <c r="K382" s="19" t="str">
        <f>IFERROR(__xludf.DUMMYFUNCTION("""COMPUTED_VALUE"""),"Terminada")</f>
        <v>Terminada</v>
      </c>
      <c r="L382" s="20">
        <f>IFERROR(__xludf.DUMMYFUNCTION("""COMPUTED_VALUE"""),44881.0)</f>
        <v>44881</v>
      </c>
      <c r="M382" s="19" t="str">
        <f>IFERROR(__xludf.DUMMYFUNCTION("""COMPUTED_VALUE"""),"PP")</f>
        <v>PP</v>
      </c>
      <c r="N382" s="19" t="str">
        <f>IFERROR(__xludf.DUMMYFUNCTION("""COMPUTED_VALUE"""),"PRIORIDAD 1 Q3 2023 OCTUBRE")</f>
        <v>PRIORIDAD 1 Q3 2023 OCTUBRE</v>
      </c>
    </row>
    <row r="383" ht="15.75" customHeight="1">
      <c r="A383" s="19" t="str">
        <f>IFERROR(__xludf.DUMMYFUNCTION("""COMPUTED_VALUE"""),"AB_4216")</f>
        <v>AB_4216</v>
      </c>
      <c r="B383" s="19" t="str">
        <f>IFERROR(__xludf.DUMMYFUNCTION("""COMPUTED_VALUE"""),"AB_4216_B")</f>
        <v>AB_4216_B</v>
      </c>
      <c r="C383" s="19" t="str">
        <f>IFERROR(__xludf.DUMMYFUNCTION("""COMPUTED_VALUE"""),"CO4216")</f>
        <v>CO4216</v>
      </c>
      <c r="D383" s="19" t="str">
        <f>IFERROR(__xludf.DUMMYFUNCTION("""COMPUTED_VALUE"""),"Andacollo Mineros")</f>
        <v>Andacollo Mineros</v>
      </c>
      <c r="E383" s="19" t="str">
        <f>IFERROR(__xludf.DUMMYFUNCTION("""COMPUTED_VALUE"""),"SITIO RFI")</f>
        <v>SITIO RFI</v>
      </c>
      <c r="F383" s="19" t="str">
        <f>IFERROR(__xludf.DUMMYFUNCTION("""COMPUTED_VALUE"""),"RFI")</f>
        <v>RFI</v>
      </c>
      <c r="G383" s="19" t="str">
        <f>IFERROR(__xludf.DUMMYFUNCTION("""COMPUTED_VALUE"""),"CV48")</f>
        <v>CV48</v>
      </c>
      <c r="H383" s="19" t="str">
        <f>IFERROR(__xludf.DUMMYFUNCTION("""COMPUTED_VALUE"""),"ADM")</f>
        <v>ADM</v>
      </c>
      <c r="I383" s="19" t="str">
        <f>IFERROR(__xludf.DUMMYFUNCTION("""COMPUTED_VALUE"""),"Entregada")</f>
        <v>Entregada</v>
      </c>
      <c r="J383" s="20">
        <f>IFERROR(__xludf.DUMMYFUNCTION("""COMPUTED_VALUE"""),44736.0)</f>
        <v>44736</v>
      </c>
      <c r="K383" s="19" t="str">
        <f>IFERROR(__xludf.DUMMYFUNCTION("""COMPUTED_VALUE"""),"Entregada")</f>
        <v>Entregada</v>
      </c>
      <c r="L383" s="20">
        <f>IFERROR(__xludf.DUMMYFUNCTION("""COMPUTED_VALUE"""),44771.0)</f>
        <v>44771</v>
      </c>
      <c r="M383" s="19" t="str">
        <f>IFERROR(__xludf.DUMMYFUNCTION("""COMPUTED_VALUE"""),"PCM")</f>
        <v>PCM</v>
      </c>
      <c r="N383" s="19" t="str">
        <f>IFERROR(__xludf.DUMMYFUNCTION("""COMPUTED_VALUE"""),"PRIORIDAD 1 Q3 2023 OCTUBRE")</f>
        <v>PRIORIDAD 1 Q3 2023 OCTUBRE</v>
      </c>
    </row>
    <row r="384" ht="15.75" customHeight="1">
      <c r="A384" s="19" t="str">
        <f>IFERROR(__xludf.DUMMYFUNCTION("""COMPUTED_VALUE"""),"AB_4542")</f>
        <v>AB_4542</v>
      </c>
      <c r="B384" s="19" t="str">
        <f>IFERROR(__xludf.DUMMYFUNCTION("""COMPUTED_VALUE"""),"AB_4542_B")</f>
        <v>AB_4542_B</v>
      </c>
      <c r="C384" s="19" t="str">
        <f>IFERROR(__xludf.DUMMYFUNCTION("""COMPUTED_VALUE"""),"CO4542")</f>
        <v>CO4542</v>
      </c>
      <c r="D384" s="19" t="str">
        <f>IFERROR(__xludf.DUMMYFUNCTION("""COMPUTED_VALUE"""),"Los Vilos Sur")</f>
        <v>Los Vilos Sur</v>
      </c>
      <c r="E384" s="19" t="str">
        <f>IFERROR(__xludf.DUMMYFUNCTION("""COMPUTED_VALUE"""),"SITIO RFI")</f>
        <v>SITIO RFI</v>
      </c>
      <c r="F384" s="19" t="str">
        <f>IFERROR(__xludf.DUMMYFUNCTION("""COMPUTED_VALUE"""),"RFI")</f>
        <v>RFI</v>
      </c>
      <c r="G384" s="19" t="str">
        <f>IFERROR(__xludf.DUMMYFUNCTION("""COMPUTED_VALUE"""),"AS42")</f>
        <v>AS42</v>
      </c>
      <c r="H384" s="19" t="str">
        <f>IFERROR(__xludf.DUMMYFUNCTION("""COMPUTED_VALUE"""),"DEITEL")</f>
        <v>DEITEL</v>
      </c>
      <c r="I384" s="19" t="str">
        <f>IFERROR(__xludf.DUMMYFUNCTION("""COMPUTED_VALUE"""),"Entregada")</f>
        <v>Entregada</v>
      </c>
      <c r="J384" s="20">
        <f>IFERROR(__xludf.DUMMYFUNCTION("""COMPUTED_VALUE"""),44697.0)</f>
        <v>44697</v>
      </c>
      <c r="K384" s="19" t="str">
        <f>IFERROR(__xludf.DUMMYFUNCTION("""COMPUTED_VALUE"""),"Entregada")</f>
        <v>Entregada</v>
      </c>
      <c r="L384" s="20">
        <f>IFERROR(__xludf.DUMMYFUNCTION("""COMPUTED_VALUE"""),44734.0)</f>
        <v>44734</v>
      </c>
      <c r="M384" s="19" t="str">
        <f>IFERROR(__xludf.DUMMYFUNCTION("""COMPUTED_VALUE"""),"PCM")</f>
        <v>PCM</v>
      </c>
      <c r="N384" s="19" t="str">
        <f>IFERROR(__xludf.DUMMYFUNCTION("""COMPUTED_VALUE"""),"PRIORIDAD 1 Q3 2023 OCTUBRE")</f>
        <v>PRIORIDAD 1 Q3 2023 OCTUBRE</v>
      </c>
    </row>
    <row r="385" ht="15.75" customHeight="1">
      <c r="A385" s="19" t="str">
        <f>IFERROR(__xludf.DUMMYFUNCTION("""COMPUTED_VALUE"""),"AB_5301")</f>
        <v>AB_5301</v>
      </c>
      <c r="B385" s="19" t="str">
        <f>IFERROR(__xludf.DUMMYFUNCTION("""COMPUTED_VALUE"""),"AB_5301_I")</f>
        <v>AB_5301_I</v>
      </c>
      <c r="C385" s="19" t="str">
        <f>IFERROR(__xludf.DUMMYFUNCTION("""COMPUTED_VALUE"""),"CO5301")</f>
        <v>CO5301</v>
      </c>
      <c r="D385" s="19" t="str">
        <f>IFERROR(__xludf.DUMMYFUNCTION("""COMPUTED_VALUE"""),"Pichidangui RU")</f>
        <v>Pichidangui RU</v>
      </c>
      <c r="E385" s="19" t="str">
        <f>IFERROR(__xludf.DUMMYFUNCTION("""COMPUTED_VALUE"""),"DETENIDO COMUNIDAD")</f>
        <v>DETENIDO COMUNIDAD</v>
      </c>
      <c r="F385" s="19"/>
      <c r="G385" s="19" t="str">
        <f>IFERROR(__xludf.DUMMYFUNCTION("""COMPUTED_VALUE"""),"MP R18")</f>
        <v>MP R18</v>
      </c>
      <c r="H385" s="19" t="str">
        <f>IFERROR(__xludf.DUMMYFUNCTION("""COMPUTED_VALUE"""),"DEITEL")</f>
        <v>DEITEL</v>
      </c>
      <c r="I385" s="19" t="str">
        <f>IFERROR(__xludf.DUMMYFUNCTION("""COMPUTED_VALUE"""),"Terminada")</f>
        <v>Terminada</v>
      </c>
      <c r="J385" s="20">
        <f>IFERROR(__xludf.DUMMYFUNCTION("""COMPUTED_VALUE"""),44953.0)</f>
        <v>44953</v>
      </c>
      <c r="K385" s="19" t="str">
        <f>IFERROR(__xludf.DUMMYFUNCTION("""COMPUTED_VALUE"""),"Terminada")</f>
        <v>Terminada</v>
      </c>
      <c r="L385" s="20">
        <f>IFERROR(__xludf.DUMMYFUNCTION("""COMPUTED_VALUE"""),45001.0)</f>
        <v>45001</v>
      </c>
      <c r="M385" s="19" t="str">
        <f>IFERROR(__xludf.DUMMYFUNCTION("""COMPUTED_VALUE"""),"PCM")</f>
        <v>PCM</v>
      </c>
      <c r="N385" s="19" t="str">
        <f>IFERROR(__xludf.DUMMYFUNCTION("""COMPUTED_VALUE"""),"PRIORIDAD 3 Q1 2024 MARZO")</f>
        <v>PRIORIDAD 3 Q1 2024 MARZO</v>
      </c>
    </row>
    <row r="386" ht="15.75" customHeight="1">
      <c r="A386" s="19" t="str">
        <f>IFERROR(__xludf.DUMMYFUNCTION("""COMPUTED_VALUE"""),"AB_5804")</f>
        <v>AB_5804</v>
      </c>
      <c r="B386" s="19" t="str">
        <f>IFERROR(__xludf.DUMMYFUNCTION("""COMPUTED_VALUE"""),"AB_5804_C")</f>
        <v>AB_5804_C</v>
      </c>
      <c r="C386" s="19" t="str">
        <f>IFERROR(__xludf.DUMMYFUNCTION("""COMPUTED_VALUE"""),"CO5804")</f>
        <v>CO5804</v>
      </c>
      <c r="D386" s="19" t="str">
        <f>IFERROR(__xludf.DUMMYFUNCTION("""COMPUTED_VALUE"""),"Moraleda")</f>
        <v>Moraleda</v>
      </c>
      <c r="E386" s="19" t="str">
        <f>IFERROR(__xludf.DUMMYFUNCTION("""COMPUTED_VALUE"""),"SITIO ASIGNADO")</f>
        <v>SITIO ASIGNADO</v>
      </c>
      <c r="F386" s="19"/>
      <c r="G386" s="19" t="str">
        <f>IFERROR(__xludf.DUMMYFUNCTION("""COMPUTED_VALUE"""),"CV36")</f>
        <v>CV36</v>
      </c>
      <c r="H386" s="19" t="str">
        <f>IFERROR(__xludf.DUMMYFUNCTION("""COMPUTED_VALUE"""),"INCOSERV")</f>
        <v>INCOSERV</v>
      </c>
      <c r="I386" s="19" t="str">
        <f>IFERROR(__xludf.DUMMYFUNCTION("""COMPUTED_VALUE"""),"Terminada")</f>
        <v>Terminada</v>
      </c>
      <c r="J386" s="20">
        <f>IFERROR(__xludf.DUMMYFUNCTION("""COMPUTED_VALUE"""),45034.0)</f>
        <v>45034</v>
      </c>
      <c r="K386" s="19" t="str">
        <f>IFERROR(__xludf.DUMMYFUNCTION("""COMPUTED_VALUE"""),"Por pintar ")</f>
        <v>Por pintar </v>
      </c>
      <c r="L386" s="20">
        <f>IFERROR(__xludf.DUMMYFUNCTION("""COMPUTED_VALUE"""),45093.0)</f>
        <v>45093</v>
      </c>
      <c r="M386" s="19" t="str">
        <f>IFERROR(__xludf.DUMMYFUNCTION("""COMPUTED_VALUE"""),"PCM")</f>
        <v>PCM</v>
      </c>
      <c r="N386" s="19" t="str">
        <f>IFERROR(__xludf.DUMMYFUNCTION("""COMPUTED_VALUE"""),"PRIORIDAD 1 Q3 2023 OCTUBRE")</f>
        <v>PRIORIDAD 1 Q3 2023 OCTUBRE</v>
      </c>
    </row>
    <row r="387" ht="15.75" customHeight="1">
      <c r="A387" s="19" t="str">
        <f>IFERROR(__xludf.DUMMYFUNCTION("""COMPUTED_VALUE"""),"AB_5805")</f>
        <v>AB_5805</v>
      </c>
      <c r="B387" s="19" t="str">
        <f>IFERROR(__xludf.DUMMYFUNCTION("""COMPUTED_VALUE"""),"AB_5805_A")</f>
        <v>AB_5805_A</v>
      </c>
      <c r="C387" s="19" t="str">
        <f>IFERROR(__xludf.DUMMYFUNCTION("""COMPUTED_VALUE"""),"CO5805")</f>
        <v>CO5805</v>
      </c>
      <c r="D387" s="19" t="str">
        <f>IFERROR(__xludf.DUMMYFUNCTION("""COMPUTED_VALUE"""),"Agua Amarilla")</f>
        <v>Agua Amarilla</v>
      </c>
      <c r="E387" s="19" t="str">
        <f>IFERROR(__xludf.DUMMYFUNCTION("""COMPUTED_VALUE"""),"SITIO PENDIENTE")</f>
        <v>SITIO PENDIENTE</v>
      </c>
      <c r="F387" s="19"/>
      <c r="G387" s="19" t="str">
        <f>IFERROR(__xludf.DUMMYFUNCTION("""COMPUTED_VALUE"""),"x")</f>
        <v>x</v>
      </c>
      <c r="H387" s="19" t="str">
        <f>IFERROR(__xludf.DUMMYFUNCTION("""COMPUTED_VALUE"""),"x")</f>
        <v>x</v>
      </c>
      <c r="I387" s="19" t="str">
        <f>IFERROR(__xludf.DUMMYFUNCTION("""COMPUTED_VALUE"""),"x")</f>
        <v>x</v>
      </c>
      <c r="J387" s="20" t="str">
        <f>IFERROR(__xludf.DUMMYFUNCTION("""COMPUTED_VALUE"""),"x")</f>
        <v>x</v>
      </c>
      <c r="K387" s="19" t="str">
        <f>IFERROR(__xludf.DUMMYFUNCTION("""COMPUTED_VALUE"""),"x")</f>
        <v>x</v>
      </c>
      <c r="L387" s="20" t="str">
        <f>IFERROR(__xludf.DUMMYFUNCTION("""COMPUTED_VALUE"""),"x")</f>
        <v>x</v>
      </c>
      <c r="M387" s="19" t="str">
        <f>IFERROR(__xludf.DUMMYFUNCTION("""COMPUTED_VALUE"""),"PP")</f>
        <v>PP</v>
      </c>
      <c r="N387" s="19" t="str">
        <f>IFERROR(__xludf.DUMMYFUNCTION("""COMPUTED_VALUE"""),"PRIORIDAD 3 Q1 2024 MARZO")</f>
        <v>PRIORIDAD 3 Q1 2024 MARZO</v>
      </c>
    </row>
    <row r="388" ht="15.75" customHeight="1">
      <c r="A388" s="19" t="str">
        <f>IFERROR(__xludf.DUMMYFUNCTION("""COMPUTED_VALUE"""),"AB_5809")</f>
        <v>AB_5809</v>
      </c>
      <c r="B388" s="19" t="str">
        <f>IFERROR(__xludf.DUMMYFUNCTION("""COMPUTED_VALUE"""),"AB_5809_E")</f>
        <v>AB_5809_E</v>
      </c>
      <c r="C388" s="19" t="str">
        <f>IFERROR(__xludf.DUMMYFUNCTION("""COMPUTED_VALUE"""),"CO5809")</f>
        <v>CO5809</v>
      </c>
      <c r="D388" s="19" t="str">
        <f>IFERROR(__xludf.DUMMYFUNCTION("""COMPUTED_VALUE"""),"Barranca de la Canela")</f>
        <v>Barranca de la Canela</v>
      </c>
      <c r="E388" s="19" t="str">
        <f>IFERROR(__xludf.DUMMYFUNCTION("""COMPUTED_VALUE"""),"SITIO RFI")</f>
        <v>SITIO RFI</v>
      </c>
      <c r="F388" s="19" t="str">
        <f>IFERROR(__xludf.DUMMYFUNCTION("""COMPUTED_VALUE"""),"RFI")</f>
        <v>RFI</v>
      </c>
      <c r="G388" s="19" t="str">
        <f>IFERROR(__xludf.DUMMYFUNCTION("""COMPUTED_VALUE"""),"AS42")</f>
        <v>AS42</v>
      </c>
      <c r="H388" s="19" t="str">
        <f>IFERROR(__xludf.DUMMYFUNCTION("""COMPUTED_VALUE"""),"PyP")</f>
        <v>PyP</v>
      </c>
      <c r="I388" s="19" t="str">
        <f>IFERROR(__xludf.DUMMYFUNCTION("""COMPUTED_VALUE"""),"Entregada")</f>
        <v>Entregada</v>
      </c>
      <c r="J388" s="20">
        <f>IFERROR(__xludf.DUMMYFUNCTION("""COMPUTED_VALUE"""),44531.0)</f>
        <v>44531</v>
      </c>
      <c r="K388" s="19" t="str">
        <f>IFERROR(__xludf.DUMMYFUNCTION("""COMPUTED_VALUE"""),"Entregada")</f>
        <v>Entregada</v>
      </c>
      <c r="L388" s="20">
        <f>IFERROR(__xludf.DUMMYFUNCTION("""COMPUTED_VALUE"""),44531.0)</f>
        <v>44531</v>
      </c>
      <c r="M388" s="19" t="str">
        <f>IFERROR(__xludf.DUMMYFUNCTION("""COMPUTED_VALUE"""),"PCM")</f>
        <v>PCM</v>
      </c>
      <c r="N388" s="19" t="str">
        <f>IFERROR(__xludf.DUMMYFUNCTION("""COMPUTED_VALUE"""),"PRIORIDAD 1 Q3 2023 OCTUBRE")</f>
        <v>PRIORIDAD 1 Q3 2023 OCTUBRE</v>
      </c>
    </row>
    <row r="389" ht="15.75" customHeight="1">
      <c r="A389" s="19" t="str">
        <f>IFERROR(__xludf.DUMMYFUNCTION("""COMPUTED_VALUE"""),"AB_5890")</f>
        <v>AB_5890</v>
      </c>
      <c r="B389" s="19" t="str">
        <f>IFERROR(__xludf.DUMMYFUNCTION("""COMPUTED_VALUE"""),"AB_5890_B")</f>
        <v>AB_5890_B</v>
      </c>
      <c r="C389" s="19" t="str">
        <f>IFERROR(__xludf.DUMMYFUNCTION("""COMPUTED_VALUE"""),"CO5890")</f>
        <v>CO5890</v>
      </c>
      <c r="D389" s="19" t="str">
        <f>IFERROR(__xludf.DUMMYFUNCTION("""COMPUTED_VALUE"""),"Cerro Pajonales")</f>
        <v>Cerro Pajonales</v>
      </c>
      <c r="E389" s="19" t="str">
        <f>IFERROR(__xludf.DUMMYFUNCTION("""COMPUTED_VALUE"""),"SITIO PENDIENTE")</f>
        <v>SITIO PENDIENTE</v>
      </c>
      <c r="F389" s="19"/>
      <c r="G389" s="19" t="str">
        <f>IFERROR(__xludf.DUMMYFUNCTION("""COMPUTED_VALUE"""),"AS42")</f>
        <v>AS42</v>
      </c>
      <c r="H389" s="19" t="str">
        <f>IFERROR(__xludf.DUMMYFUNCTION("""COMPUTED_VALUE"""),"MER")</f>
        <v>MER</v>
      </c>
      <c r="I389" s="19" t="str">
        <f>IFERROR(__xludf.DUMMYFUNCTION("""COMPUTED_VALUE"""),"Terminada")</f>
        <v>Terminada</v>
      </c>
      <c r="J389" s="20">
        <f>IFERROR(__xludf.DUMMYFUNCTION("""COMPUTED_VALUE"""),44722.0)</f>
        <v>44722</v>
      </c>
      <c r="K389" s="19" t="str">
        <f>IFERROR(__xludf.DUMMYFUNCTION("""COMPUTED_VALUE"""),"Por pintar ")</f>
        <v>Por pintar </v>
      </c>
      <c r="L389" s="20">
        <f>IFERROR(__xludf.DUMMYFUNCTION("""COMPUTED_VALUE"""),44722.0)</f>
        <v>44722</v>
      </c>
      <c r="M389" s="19" t="str">
        <f>IFERROR(__xludf.DUMMYFUNCTION("""COMPUTED_VALUE"""),"PP")</f>
        <v>PP</v>
      </c>
      <c r="N389" s="19" t="str">
        <f>IFERROR(__xludf.DUMMYFUNCTION("""COMPUTED_VALUE"""),"PRIORIDAD 2 Q4 2023 DICIEMBRE")</f>
        <v>PRIORIDAD 2 Q4 2023 DICIEMBRE</v>
      </c>
    </row>
    <row r="390" ht="15.75" customHeight="1">
      <c r="A390" s="19" t="str">
        <f>IFERROR(__xludf.DUMMYFUNCTION("""COMPUTED_VALUE"""),"AB_6240")</f>
        <v>AB_6240</v>
      </c>
      <c r="B390" s="19" t="str">
        <f>IFERROR(__xludf.DUMMYFUNCTION("""COMPUTED_VALUE"""),"AB_6240_A")</f>
        <v>AB_6240_A</v>
      </c>
      <c r="C390" s="19" t="str">
        <f>IFERROR(__xludf.DUMMYFUNCTION("""COMPUTED_VALUE"""),"CO6240")</f>
        <v>CO6240</v>
      </c>
      <c r="D390" s="19" t="str">
        <f>IFERROR(__xludf.DUMMYFUNCTION("""COMPUTED_VALUE"""),"Combarbala Sur")</f>
        <v>Combarbala Sur</v>
      </c>
      <c r="E390" s="19" t="str">
        <f>IFERROR(__xludf.DUMMYFUNCTION("""COMPUTED_VALUE"""),"SITIO EN CONSTRUCCION")</f>
        <v>SITIO EN CONSTRUCCION</v>
      </c>
      <c r="F390" s="19" t="str">
        <f>IFERROR(__xludf.DUMMYFUNCTION("""COMPUTED_VALUE"""),"ENFIERRADURA")</f>
        <v>ENFIERRADURA</v>
      </c>
      <c r="G390" s="19" t="str">
        <f>IFERROR(__xludf.DUMMYFUNCTION("""COMPUTED_VALUE"""),"MP R24")</f>
        <v>MP R24</v>
      </c>
      <c r="H390" s="19" t="str">
        <f>IFERROR(__xludf.DUMMYFUNCTION("""COMPUTED_VALUE"""),"DEITEL")</f>
        <v>DEITEL</v>
      </c>
      <c r="I390" s="19" t="str">
        <f>IFERROR(__xludf.DUMMYFUNCTION("""COMPUTED_VALUE"""),"Terminada")</f>
        <v>Terminada</v>
      </c>
      <c r="J390" s="20">
        <f>IFERROR(__xludf.DUMMYFUNCTION("""COMPUTED_VALUE"""),44904.0)</f>
        <v>44904</v>
      </c>
      <c r="K390" s="19" t="str">
        <f>IFERROR(__xludf.DUMMYFUNCTION("""COMPUTED_VALUE"""),"Terminada")</f>
        <v>Terminada</v>
      </c>
      <c r="L390" s="20">
        <f>IFERROR(__xludf.DUMMYFUNCTION("""COMPUTED_VALUE"""),45016.0)</f>
        <v>45016</v>
      </c>
      <c r="M390" s="19" t="str">
        <f>IFERROR(__xludf.DUMMYFUNCTION("""COMPUTED_VALUE"""),"PCM")</f>
        <v>PCM</v>
      </c>
      <c r="N390" s="19" t="str">
        <f>IFERROR(__xludf.DUMMYFUNCTION("""COMPUTED_VALUE"""),"PRIORIDAD 1 Q3 2023 OCTUBRE")</f>
        <v>PRIORIDAD 1 Q3 2023 OCTUBRE</v>
      </c>
    </row>
    <row r="391" ht="15.75" customHeight="1">
      <c r="A391" s="19" t="str">
        <f>IFERROR(__xludf.DUMMYFUNCTION("""COMPUTED_VALUE"""),"AB_6335")</f>
        <v>AB_6335</v>
      </c>
      <c r="B391" s="19" t="str">
        <f>IFERROR(__xludf.DUMMYFUNCTION("""COMPUTED_VALUE"""),"AB_6335_C")</f>
        <v>AB_6335_C</v>
      </c>
      <c r="C391" s="19" t="str">
        <f>IFERROR(__xludf.DUMMYFUNCTION("""COMPUTED_VALUE"""),"CO6335")</f>
        <v>CO6335</v>
      </c>
      <c r="D391" s="19" t="str">
        <f>IFERROR(__xludf.DUMMYFUNCTION("""COMPUTED_VALUE"""),"El Tambo Surponiente")</f>
        <v>El Tambo Surponiente</v>
      </c>
      <c r="E391" s="19" t="str">
        <f>IFERROR(__xludf.DUMMYFUNCTION("""COMPUTED_VALUE"""),"SITIO RFI")</f>
        <v>SITIO RFI</v>
      </c>
      <c r="F391" s="19" t="str">
        <f>IFERROR(__xludf.DUMMYFUNCTION("""COMPUTED_VALUE"""),"RFI")</f>
        <v>RFI</v>
      </c>
      <c r="G391" s="19" t="str">
        <f>IFERROR(__xludf.DUMMYFUNCTION("""COMPUTED_VALUE"""),"MP30")</f>
        <v>MP30</v>
      </c>
      <c r="H391" s="19" t="str">
        <f>IFERROR(__xludf.DUMMYFUNCTION("""COMPUTED_VALUE"""),"MER")</f>
        <v>MER</v>
      </c>
      <c r="I391" s="19" t="str">
        <f>IFERROR(__xludf.DUMMYFUNCTION("""COMPUTED_VALUE"""),"Entregada")</f>
        <v>Entregada</v>
      </c>
      <c r="J391" s="20">
        <f>IFERROR(__xludf.DUMMYFUNCTION("""COMPUTED_VALUE"""),44697.0)</f>
        <v>44697</v>
      </c>
      <c r="K391" s="19" t="str">
        <f>IFERROR(__xludf.DUMMYFUNCTION("""COMPUTED_VALUE"""),"Entregada")</f>
        <v>Entregada</v>
      </c>
      <c r="L391" s="20">
        <f>IFERROR(__xludf.DUMMYFUNCTION("""COMPUTED_VALUE"""),44752.0)</f>
        <v>44752</v>
      </c>
      <c r="M391" s="19" t="str">
        <f>IFERROR(__xludf.DUMMYFUNCTION("""COMPUTED_VALUE"""),"PCM")</f>
        <v>PCM</v>
      </c>
      <c r="N391" s="19" t="str">
        <f>IFERROR(__xludf.DUMMYFUNCTION("""COMPUTED_VALUE"""),"PRIORIDAD 1 Q3 2023 OCTUBRE")</f>
        <v>PRIORIDAD 1 Q3 2023 OCTUBRE</v>
      </c>
    </row>
    <row r="392" ht="15.75" customHeight="1">
      <c r="A392" s="19" t="str">
        <f>IFERROR(__xludf.DUMMYFUNCTION("""COMPUTED_VALUE"""),"AB_6693")</f>
        <v>AB_6693</v>
      </c>
      <c r="B392" s="19" t="str">
        <f>IFERROR(__xludf.DUMMYFUNCTION("""COMPUTED_VALUE"""),"AB_6693_E")</f>
        <v>AB_6693_E</v>
      </c>
      <c r="C392" s="19" t="str">
        <f>IFERROR(__xludf.DUMMYFUNCTION("""COMPUTED_VALUE"""),"CO6693")</f>
        <v>CO6693</v>
      </c>
      <c r="D392" s="19" t="str">
        <f>IFERROR(__xludf.DUMMYFUNCTION("""COMPUTED_VALUE"""),"Pichasca")</f>
        <v>Pichasca</v>
      </c>
      <c r="E392" s="19" t="str">
        <f>IFERROR(__xludf.DUMMYFUNCTION("""COMPUTED_VALUE"""),"SITIO RFI")</f>
        <v>SITIO RFI</v>
      </c>
      <c r="F392" s="19" t="str">
        <f>IFERROR(__xludf.DUMMYFUNCTION("""COMPUTED_VALUE"""),"MONTAJE")</f>
        <v>MONTAJE</v>
      </c>
      <c r="G392" s="19" t="str">
        <f>IFERROR(__xludf.DUMMYFUNCTION("""COMPUTED_VALUE"""),"CV60E ")</f>
        <v>CV60E </v>
      </c>
      <c r="H392" s="19" t="str">
        <f>IFERROR(__xludf.DUMMYFUNCTION("""COMPUTED_VALUE"""),"SYC")</f>
        <v>SYC</v>
      </c>
      <c r="I392" s="19" t="str">
        <f>IFERROR(__xludf.DUMMYFUNCTION("""COMPUTED_VALUE"""),"Entregada")</f>
        <v>Entregada</v>
      </c>
      <c r="J392" s="20">
        <f>IFERROR(__xludf.DUMMYFUNCTION("""COMPUTED_VALUE"""),44890.0)</f>
        <v>44890</v>
      </c>
      <c r="K392" s="19" t="str">
        <f>IFERROR(__xludf.DUMMYFUNCTION("""COMPUTED_VALUE"""),"Entregada")</f>
        <v>Entregada</v>
      </c>
      <c r="L392" s="20">
        <f>IFERROR(__xludf.DUMMYFUNCTION("""COMPUTED_VALUE"""),44911.0)</f>
        <v>44911</v>
      </c>
      <c r="M392" s="19" t="str">
        <f>IFERROR(__xludf.DUMMYFUNCTION("""COMPUTED_VALUE"""),"PCM")</f>
        <v>PCM</v>
      </c>
      <c r="N392" s="19" t="str">
        <f>IFERROR(__xludf.DUMMYFUNCTION("""COMPUTED_VALUE"""),"PRIORIDAD 1 Q3 2023 OCTUBRE")</f>
        <v>PRIORIDAD 1 Q3 2023 OCTUBRE</v>
      </c>
    </row>
    <row r="393" ht="15.75" customHeight="1">
      <c r="A393" s="19" t="str">
        <f>IFERROR(__xludf.DUMMYFUNCTION("""COMPUTED_VALUE"""),"AB_6694")</f>
        <v>AB_6694</v>
      </c>
      <c r="B393" s="19" t="str">
        <f>IFERROR(__xludf.DUMMYFUNCTION("""COMPUTED_VALUE"""),"AB_6694_D")</f>
        <v>AB_6694_D</v>
      </c>
      <c r="C393" s="19" t="str">
        <f>IFERROR(__xludf.DUMMYFUNCTION("""COMPUTED_VALUE"""),"CO6694")</f>
        <v>CO6694</v>
      </c>
      <c r="D393" s="19" t="str">
        <f>IFERROR(__xludf.DUMMYFUNCTION("""COMPUTED_VALUE"""),"Samo Alto")</f>
        <v>Samo Alto</v>
      </c>
      <c r="E393" s="19" t="str">
        <f>IFERROR(__xludf.DUMMYFUNCTION("""COMPUTED_VALUE"""),"SITIO RFI")</f>
        <v>SITIO RFI</v>
      </c>
      <c r="F393" s="19" t="str">
        <f>IFERROR(__xludf.DUMMYFUNCTION("""COMPUTED_VALUE"""),"CIERRE")</f>
        <v>CIERRE</v>
      </c>
      <c r="G393" s="19" t="str">
        <f>IFERROR(__xludf.DUMMYFUNCTION("""COMPUTED_VALUE"""),"AS42")</f>
        <v>AS42</v>
      </c>
      <c r="H393" s="19" t="str">
        <f>IFERROR(__xludf.DUMMYFUNCTION("""COMPUTED_VALUE"""),"AJ")</f>
        <v>AJ</v>
      </c>
      <c r="I393" s="19" t="str">
        <f>IFERROR(__xludf.DUMMYFUNCTION("""COMPUTED_VALUE"""),"Entregada")</f>
        <v>Entregada</v>
      </c>
      <c r="J393" s="20">
        <f>IFERROR(__xludf.DUMMYFUNCTION("""COMPUTED_VALUE"""),44664.0)</f>
        <v>44664</v>
      </c>
      <c r="K393" s="19" t="str">
        <f>IFERROR(__xludf.DUMMYFUNCTION("""COMPUTED_VALUE"""),"Entregada")</f>
        <v>Entregada</v>
      </c>
      <c r="L393" s="20">
        <f>IFERROR(__xludf.DUMMYFUNCTION("""COMPUTED_VALUE"""),44722.0)</f>
        <v>44722</v>
      </c>
      <c r="M393" s="19" t="str">
        <f>IFERROR(__xludf.DUMMYFUNCTION("""COMPUTED_VALUE"""),"PCM")</f>
        <v>PCM</v>
      </c>
      <c r="N393" s="19" t="str">
        <f>IFERROR(__xludf.DUMMYFUNCTION("""COMPUTED_VALUE"""),"PRIORIDAD 1 Q3 2023 OCTUBRE")</f>
        <v>PRIORIDAD 1 Q3 2023 OCTUBRE</v>
      </c>
    </row>
    <row r="394" ht="15.75" customHeight="1">
      <c r="A394" s="19" t="str">
        <f>IFERROR(__xludf.DUMMYFUNCTION("""COMPUTED_VALUE"""),"AB_6899")</f>
        <v>AB_6899</v>
      </c>
      <c r="B394" s="19" t="str">
        <f>IFERROR(__xludf.DUMMYFUNCTION("""COMPUTED_VALUE"""),"AB_6899_C")</f>
        <v>AB_6899_C</v>
      </c>
      <c r="C394" s="19" t="str">
        <f>IFERROR(__xludf.DUMMYFUNCTION("""COMPUTED_VALUE"""),"CO6899")</f>
        <v>CO6899</v>
      </c>
      <c r="D394" s="19" t="str">
        <f>IFERROR(__xludf.DUMMYFUNCTION("""COMPUTED_VALUE"""),"Tunga")</f>
        <v>Tunga</v>
      </c>
      <c r="E394" s="19" t="str">
        <f>IFERROR(__xludf.DUMMYFUNCTION("""COMPUTED_VALUE"""),"SITIO RFI")</f>
        <v>SITIO RFI</v>
      </c>
      <c r="F394" s="19" t="str">
        <f>IFERROR(__xludf.DUMMYFUNCTION("""COMPUTED_VALUE"""),"RFI")</f>
        <v>RFI</v>
      </c>
      <c r="G394" s="19" t="str">
        <f>IFERROR(__xludf.DUMMYFUNCTION("""COMPUTED_VALUE"""),"CV36")</f>
        <v>CV36</v>
      </c>
      <c r="H394" s="19" t="str">
        <f>IFERROR(__xludf.DUMMYFUNCTION("""COMPUTED_VALUE"""),"AJ")</f>
        <v>AJ</v>
      </c>
      <c r="I394" s="19" t="str">
        <f>IFERROR(__xludf.DUMMYFUNCTION("""COMPUTED_VALUE"""),"Entregada")</f>
        <v>Entregada</v>
      </c>
      <c r="J394" s="20">
        <f>IFERROR(__xludf.DUMMYFUNCTION("""COMPUTED_VALUE"""),44697.0)</f>
        <v>44697</v>
      </c>
      <c r="K394" s="19" t="str">
        <f>IFERROR(__xludf.DUMMYFUNCTION("""COMPUTED_VALUE"""),"Entregada")</f>
        <v>Entregada</v>
      </c>
      <c r="L394" s="20">
        <f>IFERROR(__xludf.DUMMYFUNCTION("""COMPUTED_VALUE"""),44756.0)</f>
        <v>44756</v>
      </c>
      <c r="M394" s="19" t="str">
        <f>IFERROR(__xludf.DUMMYFUNCTION("""COMPUTED_VALUE"""),"PCM")</f>
        <v>PCM</v>
      </c>
      <c r="N394" s="19" t="str">
        <f>IFERROR(__xludf.DUMMYFUNCTION("""COMPUTED_VALUE"""),"PRIORIDAD 1 Q3 2023 OCTUBRE")</f>
        <v>PRIORIDAD 1 Q3 2023 OCTUBRE</v>
      </c>
    </row>
    <row r="395" ht="15.75" customHeight="1">
      <c r="A395" s="19" t="str">
        <f>IFERROR(__xludf.DUMMYFUNCTION("""COMPUTED_VALUE"""),"AB_7082")</f>
        <v>AB_7082</v>
      </c>
      <c r="B395" s="19" t="str">
        <f>IFERROR(__xludf.DUMMYFUNCTION("""COMPUTED_VALUE"""),"AB_7082_B")</f>
        <v>AB_7082_B</v>
      </c>
      <c r="C395" s="19" t="str">
        <f>IFERROR(__xludf.DUMMYFUNCTION("""COMPUTED_VALUE"""),"CO7082")</f>
        <v>CO7082</v>
      </c>
      <c r="D395" s="19" t="str">
        <f>IFERROR(__xludf.DUMMYFUNCTION("""COMPUTED_VALUE"""),"Cerro Villa Chañaral")</f>
        <v>Cerro Villa Chañaral</v>
      </c>
      <c r="E395" s="19" t="str">
        <f>IFERROR(__xludf.DUMMYFUNCTION("""COMPUTED_VALUE"""),"DETENIDO EN PROCESO LDA")</f>
        <v>DETENIDO EN PROCESO LDA</v>
      </c>
      <c r="F395" s="19"/>
      <c r="G395" s="19" t="str">
        <f>IFERROR(__xludf.DUMMYFUNCTION("""COMPUTED_VALUE"""),"MP R24")</f>
        <v>MP R24</v>
      </c>
      <c r="H395" s="19" t="str">
        <f>IFERROR(__xludf.DUMMYFUNCTION("""COMPUTED_VALUE"""),"")</f>
        <v/>
      </c>
      <c r="I395" s="19" t="str">
        <f>IFERROR(__xludf.DUMMYFUNCTION("""COMPUTED_VALUE"""),"")</f>
        <v/>
      </c>
      <c r="J395" s="20" t="str">
        <f>IFERROR(__xludf.DUMMYFUNCTION("""COMPUTED_VALUE"""),"")</f>
        <v/>
      </c>
      <c r="K395" s="19" t="str">
        <f>IFERROR(__xludf.DUMMYFUNCTION("""COMPUTED_VALUE"""),"")</f>
        <v/>
      </c>
      <c r="L395" s="20" t="str">
        <f>IFERROR(__xludf.DUMMYFUNCTION("""COMPUTED_VALUE"""),"")</f>
        <v/>
      </c>
      <c r="M395" s="19" t="str">
        <f>IFERROR(__xludf.DUMMYFUNCTION("""COMPUTED_VALUE"""),"PCM")</f>
        <v>PCM</v>
      </c>
      <c r="N395" s="19" t="str">
        <f>IFERROR(__xludf.DUMMYFUNCTION("""COMPUTED_VALUE"""),"PRIORIDAD 3 Q1 2024 MARZO")</f>
        <v>PRIORIDAD 3 Q1 2024 MARZO</v>
      </c>
    </row>
    <row r="396" ht="15.75" customHeight="1">
      <c r="A396" s="19" t="str">
        <f>IFERROR(__xludf.DUMMYFUNCTION("""COMPUTED_VALUE"""),"AB_8526")</f>
        <v>AB_8526</v>
      </c>
      <c r="B396" s="19" t="str">
        <f>IFERROR(__xludf.DUMMYFUNCTION("""COMPUTED_VALUE"""),"AB_8526_A")</f>
        <v>AB_8526_A</v>
      </c>
      <c r="C396" s="19" t="str">
        <f>IFERROR(__xludf.DUMMYFUNCTION("""COMPUTED_VALUE"""),"CO8526")</f>
        <v>CO8526</v>
      </c>
      <c r="D396" s="19" t="str">
        <f>IFERROR(__xludf.DUMMYFUNCTION("""COMPUTED_VALUE"""),"Andacollito")</f>
        <v>Andacollito</v>
      </c>
      <c r="E396" s="19" t="str">
        <f>IFERROR(__xludf.DUMMYFUNCTION("""COMPUTED_VALUE"""),"SITIO EN CONSTRUCCION")</f>
        <v>SITIO EN CONSTRUCCION</v>
      </c>
      <c r="F396" s="19" t="str">
        <f>IFERROR(__xludf.DUMMYFUNCTION("""COMPUTED_VALUE"""),"HORMIGONADO")</f>
        <v>HORMIGONADO</v>
      </c>
      <c r="G396" s="19" t="str">
        <f>IFERROR(__xludf.DUMMYFUNCTION("""COMPUTED_VALUE"""),"CV36")</f>
        <v>CV36</v>
      </c>
      <c r="H396" s="19" t="str">
        <f>IFERROR(__xludf.DUMMYFUNCTION("""COMPUTED_VALUE"""),"AJ")</f>
        <v>AJ</v>
      </c>
      <c r="I396" s="19" t="str">
        <f>IFERROR(__xludf.DUMMYFUNCTION("""COMPUTED_VALUE"""),"Entregada")</f>
        <v>Entregada</v>
      </c>
      <c r="J396" s="20">
        <f>IFERROR(__xludf.DUMMYFUNCTION("""COMPUTED_VALUE"""),44697.0)</f>
        <v>44697</v>
      </c>
      <c r="K396" s="19" t="str">
        <f>IFERROR(__xludf.DUMMYFUNCTION("""COMPUTED_VALUE"""),"Entregada")</f>
        <v>Entregada</v>
      </c>
      <c r="L396" s="20">
        <f>IFERROR(__xludf.DUMMYFUNCTION("""COMPUTED_VALUE"""),44848.0)</f>
        <v>44848</v>
      </c>
      <c r="M396" s="19" t="str">
        <f>IFERROR(__xludf.DUMMYFUNCTION("""COMPUTED_VALUE"""),"PCM")</f>
        <v>PCM</v>
      </c>
      <c r="N396" s="19" t="str">
        <f>IFERROR(__xludf.DUMMYFUNCTION("""COMPUTED_VALUE"""),"PRIORIDAD 1 Q3 2023 OCTUBRE")</f>
        <v>PRIORIDAD 1 Q3 2023 OCTUBRE</v>
      </c>
    </row>
    <row r="397" ht="15.75" customHeight="1">
      <c r="A397" s="19" t="str">
        <f>IFERROR(__xludf.DUMMYFUNCTION("""COMPUTED_VALUE"""),"AB_8536")</f>
        <v>AB_8536</v>
      </c>
      <c r="B397" s="19" t="str">
        <f>IFERROR(__xludf.DUMMYFUNCTION("""COMPUTED_VALUE"""),"AB_8536_C")</f>
        <v>AB_8536_C</v>
      </c>
      <c r="C397" s="19" t="str">
        <f>IFERROR(__xludf.DUMMYFUNCTION("""COMPUTED_VALUE"""),"CO8536")</f>
        <v>CO8536</v>
      </c>
      <c r="D397" s="19" t="str">
        <f>IFERROR(__xludf.DUMMYFUNCTION("""COMPUTED_VALUE"""),"El Tambo")</f>
        <v>El Tambo</v>
      </c>
      <c r="E397" s="19" t="str">
        <f>IFERROR(__xludf.DUMMYFUNCTION("""COMPUTED_VALUE"""),"DETENIDO SUBTEL")</f>
        <v>DETENIDO SUBTEL</v>
      </c>
      <c r="F397" s="19" t="str">
        <f>IFERROR(__xludf.DUMMYFUNCTION("""COMPUTED_VALUE"""),"MONTAJE")</f>
        <v>MONTAJE</v>
      </c>
      <c r="G397" s="19" t="str">
        <f>IFERROR(__xludf.DUMMYFUNCTION("""COMPUTED_VALUE"""),"CV42")</f>
        <v>CV42</v>
      </c>
      <c r="H397" s="19" t="str">
        <f>IFERROR(__xludf.DUMMYFUNCTION("""COMPUTED_VALUE"""),"AJ")</f>
        <v>AJ</v>
      </c>
      <c r="I397" s="19" t="str">
        <f>IFERROR(__xludf.DUMMYFUNCTION("""COMPUTED_VALUE"""),"Entregada")</f>
        <v>Entregada</v>
      </c>
      <c r="J397" s="20">
        <f>IFERROR(__xludf.DUMMYFUNCTION("""COMPUTED_VALUE"""),44729.0)</f>
        <v>44729</v>
      </c>
      <c r="K397" s="19" t="str">
        <f>IFERROR(__xludf.DUMMYFUNCTION("""COMPUTED_VALUE"""),"Entregada")</f>
        <v>Entregada</v>
      </c>
      <c r="L397" s="20">
        <f>IFERROR(__xludf.DUMMYFUNCTION("""COMPUTED_VALUE"""),44812.0)</f>
        <v>44812</v>
      </c>
      <c r="M397" s="19" t="str">
        <f>IFERROR(__xludf.DUMMYFUNCTION("""COMPUTED_VALUE"""),"PCM")</f>
        <v>PCM</v>
      </c>
      <c r="N397" s="19" t="str">
        <f>IFERROR(__xludf.DUMMYFUNCTION("""COMPUTED_VALUE"""),"PRIORIDAD 1 Q3 2023 OCTUBRE")</f>
        <v>PRIORIDAD 1 Q3 2023 OCTUBRE</v>
      </c>
    </row>
    <row r="398" ht="15.75" customHeight="1">
      <c r="A398" s="19" t="str">
        <f>IFERROR(__xludf.DUMMYFUNCTION("""COMPUTED_VALUE"""),"AB_8543")</f>
        <v>AB_8543</v>
      </c>
      <c r="B398" s="19" t="str">
        <f>IFERROR(__xludf.DUMMYFUNCTION("""COMPUTED_VALUE"""),"AB_8543_C")</f>
        <v>AB_8543_C</v>
      </c>
      <c r="C398" s="19" t="str">
        <f>IFERROR(__xludf.DUMMYFUNCTION("""COMPUTED_VALUE"""),"CO8543")</f>
        <v>CO8543</v>
      </c>
      <c r="D398" s="19" t="str">
        <f>IFERROR(__xludf.DUMMYFUNCTION("""COMPUTED_VALUE"""),"Pelicana")</f>
        <v>Pelicana</v>
      </c>
      <c r="E398" s="19" t="str">
        <f>IFERROR(__xludf.DUMMYFUNCTION("""COMPUTED_VALUE"""),"SITIO RFI")</f>
        <v>SITIO RFI</v>
      </c>
      <c r="F398" s="19" t="str">
        <f>IFERROR(__xludf.DUMMYFUNCTION("""COMPUTED_VALUE"""),"RFI")</f>
        <v>RFI</v>
      </c>
      <c r="G398" s="19" t="str">
        <f>IFERROR(__xludf.DUMMYFUNCTION("""COMPUTED_VALUE"""),"CV48")</f>
        <v>CV48</v>
      </c>
      <c r="H398" s="19" t="str">
        <f>IFERROR(__xludf.DUMMYFUNCTION("""COMPUTED_VALUE"""),"JTI")</f>
        <v>JTI</v>
      </c>
      <c r="I398" s="19" t="str">
        <f>IFERROR(__xludf.DUMMYFUNCTION("""COMPUTED_VALUE"""),"Entregada")</f>
        <v>Entregada</v>
      </c>
      <c r="J398" s="20">
        <f>IFERROR(__xludf.DUMMYFUNCTION("""COMPUTED_VALUE"""),44902.0)</f>
        <v>44902</v>
      </c>
      <c r="K398" s="19" t="str">
        <f>IFERROR(__xludf.DUMMYFUNCTION("""COMPUTED_VALUE"""),"Entregada")</f>
        <v>Entregada</v>
      </c>
      <c r="L398" s="20">
        <f>IFERROR(__xludf.DUMMYFUNCTION("""COMPUTED_VALUE"""),44902.0)</f>
        <v>44902</v>
      </c>
      <c r="M398" s="19" t="str">
        <f>IFERROR(__xludf.DUMMYFUNCTION("""COMPUTED_VALUE"""),"LLOO")</f>
        <v>LLOO</v>
      </c>
      <c r="N398" s="19" t="str">
        <f>IFERROR(__xludf.DUMMYFUNCTION("""COMPUTED_VALUE"""),"PRIORIDAD 1 Q3 2023 OCTUBRE")</f>
        <v>PRIORIDAD 1 Q3 2023 OCTUBRE</v>
      </c>
    </row>
    <row r="399" ht="15.75" customHeight="1">
      <c r="A399" s="19" t="str">
        <f>IFERROR(__xludf.DUMMYFUNCTION("""COMPUTED_VALUE"""),"AB_8549")</f>
        <v>AB_8549</v>
      </c>
      <c r="B399" s="19" t="str">
        <f>IFERROR(__xludf.DUMMYFUNCTION("""COMPUTED_VALUE"""),"AB_8549_B")</f>
        <v>AB_8549_B</v>
      </c>
      <c r="C399" s="19" t="str">
        <f>IFERROR(__xludf.DUMMYFUNCTION("""COMPUTED_VALUE"""),"CO8549")</f>
        <v>CO8549</v>
      </c>
      <c r="D399" s="19" t="str">
        <f>IFERROR(__xludf.DUMMYFUNCTION("""COMPUTED_VALUE"""),"Rivadavia Pueblo")</f>
        <v>Rivadavia Pueblo</v>
      </c>
      <c r="E399" s="19" t="str">
        <f>IFERROR(__xludf.DUMMYFUNCTION("""COMPUTED_VALUE"""),"SITIO RFI")</f>
        <v>SITIO RFI</v>
      </c>
      <c r="F399" s="19" t="str">
        <f>IFERROR(__xludf.DUMMYFUNCTION("""COMPUTED_VALUE"""),"RFI")</f>
        <v>RFI</v>
      </c>
      <c r="G399" s="19" t="str">
        <f>IFERROR(__xludf.DUMMYFUNCTION("""COMPUTED_VALUE"""),"AS36")</f>
        <v>AS36</v>
      </c>
      <c r="H399" s="19" t="str">
        <f>IFERROR(__xludf.DUMMYFUNCTION("""COMPUTED_VALUE"""),"MER")</f>
        <v>MER</v>
      </c>
      <c r="I399" s="19" t="str">
        <f>IFERROR(__xludf.DUMMYFUNCTION("""COMPUTED_VALUE"""),"Entregada")</f>
        <v>Entregada</v>
      </c>
      <c r="J399" s="20">
        <f>IFERROR(__xludf.DUMMYFUNCTION("""COMPUTED_VALUE"""),44693.0)</f>
        <v>44693</v>
      </c>
      <c r="K399" s="19" t="str">
        <f>IFERROR(__xludf.DUMMYFUNCTION("""COMPUTED_VALUE"""),"Entregada")</f>
        <v>Entregada</v>
      </c>
      <c r="L399" s="20">
        <f>IFERROR(__xludf.DUMMYFUNCTION("""COMPUTED_VALUE"""),44694.0)</f>
        <v>44694</v>
      </c>
      <c r="M399" s="19" t="str">
        <f>IFERROR(__xludf.DUMMYFUNCTION("""COMPUTED_VALUE"""),"PCM")</f>
        <v>PCM</v>
      </c>
      <c r="N399" s="19" t="str">
        <f>IFERROR(__xludf.DUMMYFUNCTION("""COMPUTED_VALUE"""),"PRIORIDAD 1 Q3 2023 OCTUBRE")</f>
        <v>PRIORIDAD 1 Q3 2023 OCTUBRE</v>
      </c>
    </row>
    <row r="400" ht="15.75" customHeight="1">
      <c r="A400" s="19" t="str">
        <f>IFERROR(__xludf.DUMMYFUNCTION("""COMPUTED_VALUE"""),"AB_8669")</f>
        <v>AB_8669</v>
      </c>
      <c r="B400" s="19" t="str">
        <f>IFERROR(__xludf.DUMMYFUNCTION("""COMPUTED_VALUE"""),"AB_8669_G")</f>
        <v>AB_8669_G</v>
      </c>
      <c r="C400" s="19" t="str">
        <f>IFERROR(__xludf.DUMMYFUNCTION("""COMPUTED_VALUE"""),"CO8669")</f>
        <v>CO8669</v>
      </c>
      <c r="D400" s="19" t="str">
        <f>IFERROR(__xludf.DUMMYFUNCTION("""COMPUTED_VALUE"""),"Guanta")</f>
        <v>Guanta</v>
      </c>
      <c r="E400" s="19" t="str">
        <f>IFERROR(__xludf.DUMMYFUNCTION("""COMPUTED_VALUE"""),"SITIO EN CONSTRUCCION")</f>
        <v>SITIO EN CONSTRUCCION</v>
      </c>
      <c r="F400" s="19" t="str">
        <f>IFERROR(__xludf.DUMMYFUNCTION("""COMPUTED_VALUE"""),"EXCAVACION")</f>
        <v>EXCAVACION</v>
      </c>
      <c r="G400" s="19" t="str">
        <f>IFERROR(__xludf.DUMMYFUNCTION("""COMPUTED_VALUE"""),"CV42")</f>
        <v>CV42</v>
      </c>
      <c r="H400" s="19" t="str">
        <f>IFERROR(__xludf.DUMMYFUNCTION("""COMPUTED_VALUE"""),"INCOSERV")</f>
        <v>INCOSERV</v>
      </c>
      <c r="I400" s="19" t="str">
        <f>IFERROR(__xludf.DUMMYFUNCTION("""COMPUTED_VALUE"""),"Terminada")</f>
        <v>Terminada</v>
      </c>
      <c r="J400" s="20">
        <f>IFERROR(__xludf.DUMMYFUNCTION("""COMPUTED_VALUE"""),45034.0)</f>
        <v>45034</v>
      </c>
      <c r="K400" s="19" t="str">
        <f>IFERROR(__xludf.DUMMYFUNCTION("""COMPUTED_VALUE"""),"Por pintar ")</f>
        <v>Por pintar </v>
      </c>
      <c r="L400" s="20">
        <f>IFERROR(__xludf.DUMMYFUNCTION("""COMPUTED_VALUE"""),45100.0)</f>
        <v>45100</v>
      </c>
      <c r="M400" s="19" t="str">
        <f>IFERROR(__xludf.DUMMYFUNCTION("""COMPUTED_VALUE"""),"PP")</f>
        <v>PP</v>
      </c>
      <c r="N400" s="19" t="str">
        <f>IFERROR(__xludf.DUMMYFUNCTION("""COMPUTED_VALUE"""),"PRIORIDAD 1 Q3 2023 OCTUBRE")</f>
        <v>PRIORIDAD 1 Q3 2023 OCTUBRE</v>
      </c>
    </row>
    <row r="401" ht="15.75" customHeight="1">
      <c r="A401" s="19" t="str">
        <f>IFERROR(__xludf.DUMMYFUNCTION("""COMPUTED_VALUE"""),"AB_9111")</f>
        <v>AB_9111</v>
      </c>
      <c r="B401" s="19" t="str">
        <f>IFERROR(__xludf.DUMMYFUNCTION("""COMPUTED_VALUE"""),"AB_9111_A")</f>
        <v>AB_9111_A</v>
      </c>
      <c r="C401" s="19" t="str">
        <f>IFERROR(__xludf.DUMMYFUNCTION("""COMPUTED_VALUE"""),"CO9111")</f>
        <v>CO9111</v>
      </c>
      <c r="D401" s="19" t="str">
        <f>IFERROR(__xludf.DUMMYFUNCTION("""COMPUTED_VALUE"""),"El Peñon Andacollo Oriente")</f>
        <v>El Peñon Andacollo Oriente</v>
      </c>
      <c r="E401" s="19" t="str">
        <f>IFERROR(__xludf.DUMMYFUNCTION("""COMPUTED_VALUE"""),"SITIO RFI")</f>
        <v>SITIO RFI</v>
      </c>
      <c r="F401" s="19" t="str">
        <f>IFERROR(__xludf.DUMMYFUNCTION("""COMPUTED_VALUE"""),"CIERRE")</f>
        <v>CIERRE</v>
      </c>
      <c r="G401" s="19" t="str">
        <f>IFERROR(__xludf.DUMMYFUNCTION("""COMPUTED_VALUE"""),"CV24")</f>
        <v>CV24</v>
      </c>
      <c r="H401" s="19" t="str">
        <f>IFERROR(__xludf.DUMMYFUNCTION("""COMPUTED_VALUE"""),"ADM")</f>
        <v>ADM</v>
      </c>
      <c r="I401" s="19" t="str">
        <f>IFERROR(__xludf.DUMMYFUNCTION("""COMPUTED_VALUE"""),"Entregada")</f>
        <v>Entregada</v>
      </c>
      <c r="J401" s="20">
        <f>IFERROR(__xludf.DUMMYFUNCTION("""COMPUTED_VALUE"""),44743.0)</f>
        <v>44743</v>
      </c>
      <c r="K401" s="19" t="str">
        <f>IFERROR(__xludf.DUMMYFUNCTION("""COMPUTED_VALUE"""),"Entregada")</f>
        <v>Entregada</v>
      </c>
      <c r="L401" s="20">
        <f>IFERROR(__xludf.DUMMYFUNCTION("""COMPUTED_VALUE"""),44743.0)</f>
        <v>44743</v>
      </c>
      <c r="M401" s="19" t="str">
        <f>IFERROR(__xludf.DUMMYFUNCTION("""COMPUTED_VALUE"""),"PCM")</f>
        <v>PCM</v>
      </c>
      <c r="N401" s="19" t="str">
        <f>IFERROR(__xludf.DUMMYFUNCTION("""COMPUTED_VALUE"""),"PRIORIDAD 1 Q3 2023 OCTUBRE")</f>
        <v>PRIORIDAD 1 Q3 2023 OCTUBRE</v>
      </c>
    </row>
    <row r="402" ht="15.75" customHeight="1">
      <c r="A402" s="19" t="str">
        <f>IFERROR(__xludf.DUMMYFUNCTION("""COMPUTED_VALUE"""),"AB_9115")</f>
        <v>AB_9115</v>
      </c>
      <c r="B402" s="19" t="str">
        <f>IFERROR(__xludf.DUMMYFUNCTION("""COMPUTED_VALUE"""),"AB_9115_E")</f>
        <v>AB_9115_E</v>
      </c>
      <c r="C402" s="19" t="str">
        <f>IFERROR(__xludf.DUMMYFUNCTION("""COMPUTED_VALUE"""),"CO9115")</f>
        <v>CO9115</v>
      </c>
      <c r="D402" s="19" t="str">
        <f>IFERROR(__xludf.DUMMYFUNCTION("""COMPUTED_VALUE"""),"Copec Socos")</f>
        <v>Copec Socos</v>
      </c>
      <c r="E402" s="19" t="str">
        <f>IFERROR(__xludf.DUMMYFUNCTION("""COMPUTED_VALUE"""),"SITIO RFI")</f>
        <v>SITIO RFI</v>
      </c>
      <c r="F402" s="19" t="str">
        <f>IFERROR(__xludf.DUMMYFUNCTION("""COMPUTED_VALUE"""),"RFI")</f>
        <v>RFI</v>
      </c>
      <c r="G402" s="19" t="str">
        <f>IFERROR(__xludf.DUMMYFUNCTION("""COMPUTED_VALUE"""),"CV48")</f>
        <v>CV48</v>
      </c>
      <c r="H402" s="19" t="str">
        <f>IFERROR(__xludf.DUMMYFUNCTION("""COMPUTED_VALUE"""),"INCOSERV")</f>
        <v>INCOSERV</v>
      </c>
      <c r="I402" s="19" t="str">
        <f>IFERROR(__xludf.DUMMYFUNCTION("""COMPUTED_VALUE"""),"Entregada")</f>
        <v>Entregada</v>
      </c>
      <c r="J402" s="20">
        <f>IFERROR(__xludf.DUMMYFUNCTION("""COMPUTED_VALUE"""),45034.0)</f>
        <v>45034</v>
      </c>
      <c r="K402" s="19" t="str">
        <f>IFERROR(__xludf.DUMMYFUNCTION("""COMPUTED_VALUE"""),"Entregada")</f>
        <v>Entregada</v>
      </c>
      <c r="L402" s="20">
        <f>IFERROR(__xludf.DUMMYFUNCTION("""COMPUTED_VALUE"""),45066.0)</f>
        <v>45066</v>
      </c>
      <c r="M402" s="19" t="str">
        <f>IFERROR(__xludf.DUMMYFUNCTION("""COMPUTED_VALUE"""),"PP")</f>
        <v>PP</v>
      </c>
      <c r="N402" s="19" t="str">
        <f>IFERROR(__xludf.DUMMYFUNCTION("""COMPUTED_VALUE"""),"PRIORIDAD 1 Q3 2023 OCTUBRE")</f>
        <v>PRIORIDAD 1 Q3 2023 OCTUBRE</v>
      </c>
    </row>
    <row r="403" ht="15.75" customHeight="1">
      <c r="A403" s="19" t="str">
        <f>IFERROR(__xludf.DUMMYFUNCTION("""COMPUTED_VALUE"""),"AB_9119")</f>
        <v>AB_9119</v>
      </c>
      <c r="B403" s="19" t="str">
        <f>IFERROR(__xludf.DUMMYFUNCTION("""COMPUTED_VALUE"""),"AB_9119_A")</f>
        <v>AB_9119_A</v>
      </c>
      <c r="C403" s="19" t="str">
        <f>IFERROR(__xludf.DUMMYFUNCTION("""COMPUTED_VALUE"""),"CO9119")</f>
        <v>CO9119</v>
      </c>
      <c r="D403" s="19" t="str">
        <f>IFERROR(__xludf.DUMMYFUNCTION("""COMPUTED_VALUE"""),"Rocas San Andres")</f>
        <v>Rocas San Andres</v>
      </c>
      <c r="E403" s="19" t="str">
        <f>IFERROR(__xludf.DUMMYFUNCTION("""COMPUTED_VALUE"""),"SITIO EN CONSTRUCCION")</f>
        <v>SITIO EN CONSTRUCCION</v>
      </c>
      <c r="F403" s="19" t="str">
        <f>IFERROR(__xludf.DUMMYFUNCTION("""COMPUTED_VALUE"""),"HORMIGONADO")</f>
        <v>HORMIGONADO</v>
      </c>
      <c r="G403" s="19" t="str">
        <f>IFERROR(__xludf.DUMMYFUNCTION("""COMPUTED_VALUE"""),"AS36")</f>
        <v>AS36</v>
      </c>
      <c r="H403" s="19" t="str">
        <f>IFERROR(__xludf.DUMMYFUNCTION("""COMPUTED_VALUE"""),"JTI")</f>
        <v>JTI</v>
      </c>
      <c r="I403" s="19" t="str">
        <f>IFERROR(__xludf.DUMMYFUNCTION("""COMPUTED_VALUE"""),"Entregada")</f>
        <v>Entregada</v>
      </c>
      <c r="J403" s="20">
        <f>IFERROR(__xludf.DUMMYFUNCTION("""COMPUTED_VALUE"""),45034.0)</f>
        <v>45034</v>
      </c>
      <c r="K403" s="19" t="str">
        <f>IFERROR(__xludf.DUMMYFUNCTION("""COMPUTED_VALUE"""),"Entregada")</f>
        <v>Entregada</v>
      </c>
      <c r="L403" s="20">
        <f>IFERROR(__xludf.DUMMYFUNCTION("""COMPUTED_VALUE"""),45037.0)</f>
        <v>45037</v>
      </c>
      <c r="M403" s="19" t="str">
        <f>IFERROR(__xludf.DUMMYFUNCTION("""COMPUTED_VALUE"""),"PP")</f>
        <v>PP</v>
      </c>
      <c r="N403" s="19" t="str">
        <f>IFERROR(__xludf.DUMMYFUNCTION("""COMPUTED_VALUE"""),"PRIORIDAD 1 Q3 2023 OCTUBRE")</f>
        <v>PRIORIDAD 1 Q3 2023 OCTUBRE</v>
      </c>
    </row>
    <row r="404" ht="15.75" customHeight="1">
      <c r="A404" s="19" t="str">
        <f>IFERROR(__xludf.DUMMYFUNCTION("""COMPUTED_VALUE"""),"AB_9122")</f>
        <v>AB_9122</v>
      </c>
      <c r="B404" s="19" t="str">
        <f>IFERROR(__xludf.DUMMYFUNCTION("""COMPUTED_VALUE"""),"AB_9122_D")</f>
        <v>AB_9122_D</v>
      </c>
      <c r="C404" s="19" t="str">
        <f>IFERROR(__xludf.DUMMYFUNCTION("""COMPUTED_VALUE"""),"CO9122")</f>
        <v>CO9122</v>
      </c>
      <c r="D404" s="19" t="str">
        <f>IFERROR(__xludf.DUMMYFUNCTION("""COMPUTED_VALUE"""),"Camino a Horcon")</f>
        <v>Camino a Horcon</v>
      </c>
      <c r="E404" s="19" t="str">
        <f>IFERROR(__xludf.DUMMYFUNCTION("""COMPUTED_VALUE"""),"SITIO EN CONSTRUCCION")</f>
        <v>SITIO EN CONSTRUCCION</v>
      </c>
      <c r="F404" s="19" t="str">
        <f>IFERROR(__xludf.DUMMYFUNCTION("""COMPUTED_VALUE"""),"VISITA")</f>
        <v>VISITA</v>
      </c>
      <c r="G404" s="19" t="str">
        <f>IFERROR(__xludf.DUMMYFUNCTION("""COMPUTED_VALUE"""),"CV24")</f>
        <v>CV24</v>
      </c>
      <c r="H404" s="19" t="str">
        <f>IFERROR(__xludf.DUMMYFUNCTION("""COMPUTED_VALUE"""),"ADM")</f>
        <v>ADM</v>
      </c>
      <c r="I404" s="19" t="str">
        <f>IFERROR(__xludf.DUMMYFUNCTION("""COMPUTED_VALUE"""),"Entregada")</f>
        <v>Entregada</v>
      </c>
      <c r="J404" s="20">
        <f>IFERROR(__xludf.DUMMYFUNCTION("""COMPUTED_VALUE"""),44743.0)</f>
        <v>44743</v>
      </c>
      <c r="K404" s="19" t="str">
        <f>IFERROR(__xludf.DUMMYFUNCTION("""COMPUTED_VALUE"""),"Terminada")</f>
        <v>Terminada</v>
      </c>
      <c r="L404" s="20">
        <f>IFERROR(__xludf.DUMMYFUNCTION("""COMPUTED_VALUE"""),44743.0)</f>
        <v>44743</v>
      </c>
      <c r="M404" s="19" t="str">
        <f>IFERROR(__xludf.DUMMYFUNCTION("""COMPUTED_VALUE"""),"PCM")</f>
        <v>PCM</v>
      </c>
      <c r="N404" s="19" t="str">
        <f>IFERROR(__xludf.DUMMYFUNCTION("""COMPUTED_VALUE"""),"PRIORIDAD 1 Q3 2023 OCTUBRE")</f>
        <v>PRIORIDAD 1 Q3 2023 OCTUBRE</v>
      </c>
    </row>
    <row r="405" ht="15.75" customHeight="1">
      <c r="A405" s="19" t="str">
        <f>IFERROR(__xludf.DUMMYFUNCTION("""COMPUTED_VALUE"""),"AB_9133")</f>
        <v>AB_9133</v>
      </c>
      <c r="B405" s="19" t="str">
        <f>IFERROR(__xludf.DUMMYFUNCTION("""COMPUTED_VALUE"""),"AB_9133_E")</f>
        <v>AB_9133_E</v>
      </c>
      <c r="C405" s="19" t="str">
        <f>IFERROR(__xludf.DUMMYFUNCTION("""COMPUTED_VALUE"""),"CO9133")</f>
        <v>CO9133</v>
      </c>
      <c r="D405" s="19" t="str">
        <f>IFERROR(__xludf.DUMMYFUNCTION("""COMPUTED_VALUE"""),"Mina El Tofo")</f>
        <v>Mina El Tofo</v>
      </c>
      <c r="E405" s="19" t="str">
        <f>IFERROR(__xludf.DUMMYFUNCTION("""COMPUTED_VALUE"""),"SITIO PENDIENTE")</f>
        <v>SITIO PENDIENTE</v>
      </c>
      <c r="F405" s="19"/>
      <c r="G405" s="19" t="str">
        <f>IFERROR(__xludf.DUMMYFUNCTION("""COMPUTED_VALUE"""),"CV36")</f>
        <v>CV36</v>
      </c>
      <c r="H405" s="19" t="str">
        <f>IFERROR(__xludf.DUMMYFUNCTION("""COMPUTED_VALUE"""),"")</f>
        <v/>
      </c>
      <c r="I405" s="19" t="str">
        <f>IFERROR(__xludf.DUMMYFUNCTION("""COMPUTED_VALUE"""),"")</f>
        <v/>
      </c>
      <c r="J405" s="20" t="str">
        <f>IFERROR(__xludf.DUMMYFUNCTION("""COMPUTED_VALUE"""),"")</f>
        <v/>
      </c>
      <c r="K405" s="19" t="str">
        <f>IFERROR(__xludf.DUMMYFUNCTION("""COMPUTED_VALUE"""),"")</f>
        <v/>
      </c>
      <c r="L405" s="20" t="str">
        <f>IFERROR(__xludf.DUMMYFUNCTION("""COMPUTED_VALUE"""),"")</f>
        <v/>
      </c>
      <c r="M405" s="19" t="str">
        <f>IFERROR(__xludf.DUMMYFUNCTION("""COMPUTED_VALUE"""),"PCM")</f>
        <v>PCM</v>
      </c>
      <c r="N405" s="19" t="str">
        <f>IFERROR(__xludf.DUMMYFUNCTION("""COMPUTED_VALUE"""),"PRIORIDAD 3 Q1 2024 MARZO")</f>
        <v>PRIORIDAD 3 Q1 2024 MARZO</v>
      </c>
    </row>
    <row r="406" ht="15.75" customHeight="1">
      <c r="A406" s="19" t="str">
        <f>IFERROR(__xludf.DUMMYFUNCTION("""COMPUTED_VALUE"""),"AB_9606")</f>
        <v>AB_9606</v>
      </c>
      <c r="B406" s="19" t="str">
        <f>IFERROR(__xludf.DUMMYFUNCTION("""COMPUTED_VALUE"""),"AB_9606_C")</f>
        <v>AB_9606_C</v>
      </c>
      <c r="C406" s="19" t="str">
        <f>IFERROR(__xludf.DUMMYFUNCTION("""COMPUTED_VALUE"""),"CO9606")</f>
        <v>CO9606</v>
      </c>
      <c r="D406" s="19" t="str">
        <f>IFERROR(__xludf.DUMMYFUNCTION("""COMPUTED_VALUE"""),"Ruta D-110 El Trapiche")</f>
        <v>Ruta D-110 El Trapiche</v>
      </c>
      <c r="E406" s="19" t="str">
        <f>IFERROR(__xludf.DUMMYFUNCTION("""COMPUTED_VALUE"""),"EN VALIDACION COMPRAS")</f>
        <v>EN VALIDACION COMPRAS</v>
      </c>
      <c r="F406" s="19"/>
      <c r="G406" s="19" t="str">
        <f>IFERROR(__xludf.DUMMYFUNCTION("""COMPUTED_VALUE"""),"AS42")</f>
        <v>AS42</v>
      </c>
      <c r="H406" s="19" t="str">
        <f>IFERROR(__xludf.DUMMYFUNCTION("""COMPUTED_VALUE"""),"DEITEL")</f>
        <v>DEITEL</v>
      </c>
      <c r="I406" s="19" t="str">
        <f>IFERROR(__xludf.DUMMYFUNCTION("""COMPUTED_VALUE"""),"Terminada")</f>
        <v>Terminada</v>
      </c>
      <c r="J406" s="20">
        <f>IFERROR(__xludf.DUMMYFUNCTION("""COMPUTED_VALUE"""),44720.0)</f>
        <v>44720</v>
      </c>
      <c r="K406" s="19" t="str">
        <f>IFERROR(__xludf.DUMMYFUNCTION("""COMPUTED_VALUE"""),"Terminada")</f>
        <v>Terminada</v>
      </c>
      <c r="L406" s="20">
        <f>IFERROR(__xludf.DUMMYFUNCTION("""COMPUTED_VALUE"""),44784.0)</f>
        <v>44784</v>
      </c>
      <c r="M406" s="19" t="str">
        <f>IFERROR(__xludf.DUMMYFUNCTION("""COMPUTED_VALUE"""),"PP")</f>
        <v>PP</v>
      </c>
      <c r="N406" s="19" t="str">
        <f>IFERROR(__xludf.DUMMYFUNCTION("""COMPUTED_VALUE"""),"PRIORIDAD 1 Q3 2023 OCTUBRE")</f>
        <v>PRIORIDAD 1 Q3 2023 OCTUBRE</v>
      </c>
    </row>
    <row r="407" ht="15.75" customHeight="1">
      <c r="A407" s="19" t="str">
        <f>IFERROR(__xludf.DUMMYFUNCTION("""COMPUTED_VALUE"""),"AB_9607")</f>
        <v>AB_9607</v>
      </c>
      <c r="B407" s="19" t="str">
        <f>IFERROR(__xludf.DUMMYFUNCTION("""COMPUTED_VALUE"""),"AB_9607_A")</f>
        <v>AB_9607_A</v>
      </c>
      <c r="C407" s="19" t="str">
        <f>IFERROR(__xludf.DUMMYFUNCTION("""COMPUTED_VALUE"""),"CO9607")</f>
        <v>CO9607</v>
      </c>
      <c r="D407" s="19" t="str">
        <f>IFERROR(__xludf.DUMMYFUNCTION("""COMPUTED_VALUE"""),"Ruta 5 Quebrada Honda")</f>
        <v>Ruta 5 Quebrada Honda</v>
      </c>
      <c r="E407" s="19" t="str">
        <f>IFERROR(__xludf.DUMMYFUNCTION("""COMPUTED_VALUE"""),"SITIO PENDIENTE")</f>
        <v>SITIO PENDIENTE</v>
      </c>
      <c r="F407" s="19"/>
      <c r="G407" s="19" t="str">
        <f>IFERROR(__xludf.DUMMYFUNCTION("""COMPUTED_VALUE"""),"CV42")</f>
        <v>CV42</v>
      </c>
      <c r="H407" s="19" t="str">
        <f>IFERROR(__xludf.DUMMYFUNCTION("""COMPUTED_VALUE"""),"INGENIUS")</f>
        <v>INGENIUS</v>
      </c>
      <c r="I407" s="19" t="str">
        <f>IFERROR(__xludf.DUMMYFUNCTION("""COMPUTED_VALUE"""),"Terminada")</f>
        <v>Terminada</v>
      </c>
      <c r="J407" s="20">
        <f>IFERROR(__xludf.DUMMYFUNCTION("""COMPUTED_VALUE"""),45042.0)</f>
        <v>45042</v>
      </c>
      <c r="K407" s="19" t="str">
        <f>IFERROR(__xludf.DUMMYFUNCTION("""COMPUTED_VALUE"""),"En fabricacion")</f>
        <v>En fabricacion</v>
      </c>
      <c r="L407" s="20">
        <f>IFERROR(__xludf.DUMMYFUNCTION("""COMPUTED_VALUE"""),45131.0)</f>
        <v>45131</v>
      </c>
      <c r="M407" s="19" t="str">
        <f>IFERROR(__xludf.DUMMYFUNCTION("""COMPUTED_VALUE"""),"PP")</f>
        <v>PP</v>
      </c>
      <c r="N407" s="19" t="str">
        <f>IFERROR(__xludf.DUMMYFUNCTION("""COMPUTED_VALUE"""),"PRIORIDAD 1 Q3 2023 OCTUBRE")</f>
        <v>PRIORIDAD 1 Q3 2023 OCTUBRE</v>
      </c>
    </row>
    <row r="408" ht="15.75" customHeight="1">
      <c r="A408" s="19" t="str">
        <f>IFERROR(__xludf.DUMMYFUNCTION("""COMPUTED_VALUE"""),"AB_9608")</f>
        <v>AB_9608</v>
      </c>
      <c r="B408" s="19" t="str">
        <f>IFERROR(__xludf.DUMMYFUNCTION("""COMPUTED_VALUE"""),"AB_9608_A")</f>
        <v>AB_9608_A</v>
      </c>
      <c r="C408" s="19" t="str">
        <f>IFERROR(__xludf.DUMMYFUNCTION("""COMPUTED_VALUE"""),"CO9608")</f>
        <v>CO9608</v>
      </c>
      <c r="D408" s="19" t="str">
        <f>IFERROR(__xludf.DUMMYFUNCTION("""COMPUTED_VALUE"""),"Ruta 5 Punta El Viento")</f>
        <v>Ruta 5 Punta El Viento</v>
      </c>
      <c r="E408" s="19" t="str">
        <f>IFERROR(__xludf.DUMMYFUNCTION("""COMPUTED_VALUE"""),"SITIO RFI")</f>
        <v>SITIO RFI</v>
      </c>
      <c r="F408" s="19" t="str">
        <f>IFERROR(__xludf.DUMMYFUNCTION("""COMPUTED_VALUE"""),"RFI")</f>
        <v>RFI</v>
      </c>
      <c r="G408" s="19" t="str">
        <f>IFERROR(__xludf.DUMMYFUNCTION("""COMPUTED_VALUE"""),"CV36")</f>
        <v>CV36</v>
      </c>
      <c r="H408" s="19" t="str">
        <f>IFERROR(__xludf.DUMMYFUNCTION("""COMPUTED_VALUE"""),"ADM")</f>
        <v>ADM</v>
      </c>
      <c r="I408" s="19" t="str">
        <f>IFERROR(__xludf.DUMMYFUNCTION("""COMPUTED_VALUE"""),"Entregada")</f>
        <v>Entregada</v>
      </c>
      <c r="J408" s="20">
        <f>IFERROR(__xludf.DUMMYFUNCTION("""COMPUTED_VALUE"""),44743.0)</f>
        <v>44743</v>
      </c>
      <c r="K408" s="19" t="str">
        <f>IFERROR(__xludf.DUMMYFUNCTION("""COMPUTED_VALUE"""),"Entregada")</f>
        <v>Entregada</v>
      </c>
      <c r="L408" s="20">
        <f>IFERROR(__xludf.DUMMYFUNCTION("""COMPUTED_VALUE"""),44757.0)</f>
        <v>44757</v>
      </c>
      <c r="M408" s="19" t="str">
        <f>IFERROR(__xludf.DUMMYFUNCTION("""COMPUTED_VALUE"""),"PP")</f>
        <v>PP</v>
      </c>
      <c r="N408" s="19" t="str">
        <f>IFERROR(__xludf.DUMMYFUNCTION("""COMPUTED_VALUE"""),"PRIORIDAD 1 Q3 2023 OCTUBRE")</f>
        <v>PRIORIDAD 1 Q3 2023 OCTUBRE</v>
      </c>
    </row>
    <row r="409" ht="15.75" customHeight="1">
      <c r="A409" s="19" t="str">
        <f>IFERROR(__xludf.DUMMYFUNCTION("""COMPUTED_VALUE"""),"AB_9611")</f>
        <v>AB_9611</v>
      </c>
      <c r="B409" s="19" t="str">
        <f>IFERROR(__xludf.DUMMYFUNCTION("""COMPUTED_VALUE"""),"AB_9611_A")</f>
        <v>AB_9611_A</v>
      </c>
      <c r="C409" s="19" t="str">
        <f>IFERROR(__xludf.DUMMYFUNCTION("""COMPUTED_VALUE"""),"CO9611")</f>
        <v>CO9611</v>
      </c>
      <c r="D409" s="19" t="str">
        <f>IFERROR(__xludf.DUMMYFUNCTION("""COMPUTED_VALUE"""),"Parque Eolico Canela")</f>
        <v>Parque Eolico Canela</v>
      </c>
      <c r="E409" s="19" t="str">
        <f>IFERROR(__xludf.DUMMYFUNCTION("""COMPUTED_VALUE"""),"SITIO RFI")</f>
        <v>SITIO RFI</v>
      </c>
      <c r="F409" s="19" t="str">
        <f>IFERROR(__xludf.DUMMYFUNCTION("""COMPUTED_VALUE"""),"RFI")</f>
        <v>RFI</v>
      </c>
      <c r="G409" s="19" t="str">
        <f>IFERROR(__xludf.DUMMYFUNCTION("""COMPUTED_VALUE"""),"AS48")</f>
        <v>AS48</v>
      </c>
      <c r="H409" s="19" t="str">
        <f>IFERROR(__xludf.DUMMYFUNCTION("""COMPUTED_VALUE"""),"MER")</f>
        <v>MER</v>
      </c>
      <c r="I409" s="19" t="str">
        <f>IFERROR(__xludf.DUMMYFUNCTION("""COMPUTED_VALUE"""),"Entregada")</f>
        <v>Entregada</v>
      </c>
      <c r="J409" s="20">
        <f>IFERROR(__xludf.DUMMYFUNCTION("""COMPUTED_VALUE"""),44697.0)</f>
        <v>44697</v>
      </c>
      <c r="K409" s="19" t="str">
        <f>IFERROR(__xludf.DUMMYFUNCTION("""COMPUTED_VALUE"""),"Entregada")</f>
        <v>Entregada</v>
      </c>
      <c r="L409" s="20">
        <f>IFERROR(__xludf.DUMMYFUNCTION("""COMPUTED_VALUE"""),44742.0)</f>
        <v>44742</v>
      </c>
      <c r="M409" s="19" t="str">
        <f>IFERROR(__xludf.DUMMYFUNCTION("""COMPUTED_VALUE"""),"PCM")</f>
        <v>PCM</v>
      </c>
      <c r="N409" s="19" t="str">
        <f>IFERROR(__xludf.DUMMYFUNCTION("""COMPUTED_VALUE"""),"PRIORIDAD 1 Q3 2023 OCTUBRE")</f>
        <v>PRIORIDAD 1 Q3 2023 OCTUBRE</v>
      </c>
    </row>
    <row r="410" ht="15.75" customHeight="1">
      <c r="A410" s="19" t="str">
        <f>IFERROR(__xludf.DUMMYFUNCTION("""COMPUTED_VALUE"""),"AB_9613")</f>
        <v>AB_9613</v>
      </c>
      <c r="B410" s="19" t="str">
        <f>IFERROR(__xludf.DUMMYFUNCTION("""COMPUTED_VALUE"""),"AB_9613_A")</f>
        <v>AB_9613_A</v>
      </c>
      <c r="C410" s="19" t="str">
        <f>IFERROR(__xludf.DUMMYFUNCTION("""COMPUTED_VALUE"""),"CO9613")</f>
        <v>CO9613</v>
      </c>
      <c r="D410" s="19" t="str">
        <f>IFERROR(__xludf.DUMMYFUNCTION("""COMPUTED_VALUE"""),"Mincha Canela")</f>
        <v>Mincha Canela</v>
      </c>
      <c r="E410" s="19" t="str">
        <f>IFERROR(__xludf.DUMMYFUNCTION("""COMPUTED_VALUE"""),"SITIO RFI")</f>
        <v>SITIO RFI</v>
      </c>
      <c r="F410" s="19" t="str">
        <f>IFERROR(__xludf.DUMMYFUNCTION("""COMPUTED_VALUE"""),"RFI")</f>
        <v>RFI</v>
      </c>
      <c r="G410" s="19" t="str">
        <f>IFERROR(__xludf.DUMMYFUNCTION("""COMPUTED_VALUE"""),"AS60")</f>
        <v>AS60</v>
      </c>
      <c r="H410" s="19" t="str">
        <f>IFERROR(__xludf.DUMMYFUNCTION("""COMPUTED_VALUE"""),"MER")</f>
        <v>MER</v>
      </c>
      <c r="I410" s="19" t="str">
        <f>IFERROR(__xludf.DUMMYFUNCTION("""COMPUTED_VALUE"""),"Entregada")</f>
        <v>Entregada</v>
      </c>
      <c r="J410" s="20">
        <f>IFERROR(__xludf.DUMMYFUNCTION("""COMPUTED_VALUE"""),44881.0)</f>
        <v>44881</v>
      </c>
      <c r="K410" s="19" t="str">
        <f>IFERROR(__xludf.DUMMYFUNCTION("""COMPUTED_VALUE"""),"Entregada")</f>
        <v>Entregada</v>
      </c>
      <c r="L410" s="20">
        <f>IFERROR(__xludf.DUMMYFUNCTION("""COMPUTED_VALUE"""),44904.0)</f>
        <v>44904</v>
      </c>
      <c r="M410" s="19" t="str">
        <f>IFERROR(__xludf.DUMMYFUNCTION("""COMPUTED_VALUE"""),"PP")</f>
        <v>PP</v>
      </c>
      <c r="N410" s="19" t="str">
        <f>IFERROR(__xludf.DUMMYFUNCTION("""COMPUTED_VALUE"""),"PRIORIDAD 1 Q3 2023 OCTUBRE")</f>
        <v>PRIORIDAD 1 Q3 2023 OCTUBRE</v>
      </c>
    </row>
    <row r="411" ht="15.75" customHeight="1">
      <c r="A411" s="19" t="str">
        <f>IFERROR(__xludf.DUMMYFUNCTION("""COMPUTED_VALUE"""),"AB_9614")</f>
        <v>AB_9614</v>
      </c>
      <c r="B411" s="19" t="str">
        <f>IFERROR(__xludf.DUMMYFUNCTION("""COMPUTED_VALUE"""),"AB_9614_B")</f>
        <v>AB_9614_B</v>
      </c>
      <c r="C411" s="19" t="str">
        <f>IFERROR(__xludf.DUMMYFUNCTION("""COMPUTED_VALUE"""),"CO9614")</f>
        <v>CO9614</v>
      </c>
      <c r="D411" s="19" t="str">
        <f>IFERROR(__xludf.DUMMYFUNCTION("""COMPUTED_VALUE"""),"Poblacion Plan de Hornos")</f>
        <v>Poblacion Plan de Hornos</v>
      </c>
      <c r="E411" s="19" t="str">
        <f>IFERROR(__xludf.DUMMYFUNCTION("""COMPUTED_VALUE"""),"SITIO RFI")</f>
        <v>SITIO RFI</v>
      </c>
      <c r="F411" s="19" t="str">
        <f>IFERROR(__xludf.DUMMYFUNCTION("""COMPUTED_VALUE"""),"RFI")</f>
        <v>RFI</v>
      </c>
      <c r="G411" s="19" t="str">
        <f>IFERROR(__xludf.DUMMYFUNCTION("""COMPUTED_VALUE"""),"CV36")</f>
        <v>CV36</v>
      </c>
      <c r="H411" s="19" t="str">
        <f>IFERROR(__xludf.DUMMYFUNCTION("""COMPUTED_VALUE"""),"INGENIUS")</f>
        <v>INGENIUS</v>
      </c>
      <c r="I411" s="19" t="str">
        <f>IFERROR(__xludf.DUMMYFUNCTION("""COMPUTED_VALUE"""),"Entregada")</f>
        <v>Entregada</v>
      </c>
      <c r="J411" s="20">
        <f>IFERROR(__xludf.DUMMYFUNCTION("""COMPUTED_VALUE"""),45041.0)</f>
        <v>45041</v>
      </c>
      <c r="K411" s="19" t="str">
        <f>IFERROR(__xludf.DUMMYFUNCTION("""COMPUTED_VALUE"""),"Entregada")</f>
        <v>Entregada</v>
      </c>
      <c r="L411" s="20">
        <f>IFERROR(__xludf.DUMMYFUNCTION("""COMPUTED_VALUE"""),45103.0)</f>
        <v>45103</v>
      </c>
      <c r="M411" s="19" t="str">
        <f>IFERROR(__xludf.DUMMYFUNCTION("""COMPUTED_VALUE"""),"PP")</f>
        <v>PP</v>
      </c>
      <c r="N411" s="19" t="str">
        <f>IFERROR(__xludf.DUMMYFUNCTION("""COMPUTED_VALUE"""),"PRIORIDAD 1 Q3 2023 OCTUBRE")</f>
        <v>PRIORIDAD 1 Q3 2023 OCTUBRE</v>
      </c>
    </row>
    <row r="412" ht="15.75" customHeight="1">
      <c r="A412" s="19" t="str">
        <f>IFERROR(__xludf.DUMMYFUNCTION("""COMPUTED_VALUE"""),"AB_9615")</f>
        <v>AB_9615</v>
      </c>
      <c r="B412" s="19" t="str">
        <f>IFERROR(__xludf.DUMMYFUNCTION("""COMPUTED_VALUE"""),"AB_9615_C")</f>
        <v>AB_9615_C</v>
      </c>
      <c r="C412" s="19" t="str">
        <f>IFERROR(__xludf.DUMMYFUNCTION("""COMPUTED_VALUE"""),"CO9615")</f>
        <v>CO9615</v>
      </c>
      <c r="D412" s="19" t="str">
        <f>IFERROR(__xludf.DUMMYFUNCTION("""COMPUTED_VALUE"""),"Reserva Nacional Las Chinchillas")</f>
        <v>Reserva Nacional Las Chinchillas</v>
      </c>
      <c r="E412" s="19" t="str">
        <f>IFERROR(__xludf.DUMMYFUNCTION("""COMPUTED_VALUE"""),"DETENIDO SAC")</f>
        <v>DETENIDO SAC</v>
      </c>
      <c r="F412" s="19"/>
      <c r="G412" s="19" t="str">
        <f>IFERROR(__xludf.DUMMYFUNCTION("""COMPUTED_VALUE"""),"CV60")</f>
        <v>CV60</v>
      </c>
      <c r="H412" s="19" t="str">
        <f>IFERROR(__xludf.DUMMYFUNCTION("""COMPUTED_VALUE"""),"")</f>
        <v/>
      </c>
      <c r="I412" s="19" t="str">
        <f>IFERROR(__xludf.DUMMYFUNCTION("""COMPUTED_VALUE"""),"")</f>
        <v/>
      </c>
      <c r="J412" s="20" t="str">
        <f>IFERROR(__xludf.DUMMYFUNCTION("""COMPUTED_VALUE"""),"")</f>
        <v/>
      </c>
      <c r="K412" s="19" t="str">
        <f>IFERROR(__xludf.DUMMYFUNCTION("""COMPUTED_VALUE"""),"")</f>
        <v/>
      </c>
      <c r="L412" s="20" t="str">
        <f>IFERROR(__xludf.DUMMYFUNCTION("""COMPUTED_VALUE"""),"")</f>
        <v/>
      </c>
      <c r="M412" s="19" t="str">
        <f>IFERROR(__xludf.DUMMYFUNCTION("""COMPUTED_VALUE"""),"PP")</f>
        <v>PP</v>
      </c>
      <c r="N412" s="19" t="str">
        <f>IFERROR(__xludf.DUMMYFUNCTION("""COMPUTED_VALUE"""),"PRIORIDAD 3 Q1 2024 MARZO")</f>
        <v>PRIORIDAD 3 Q1 2024 MARZO</v>
      </c>
    </row>
    <row r="413" ht="15.75" customHeight="1">
      <c r="A413" s="19" t="str">
        <f>IFERROR(__xludf.DUMMYFUNCTION("""COMPUTED_VALUE"""),"AB_9616")</f>
        <v>AB_9616</v>
      </c>
      <c r="B413" s="19" t="str">
        <f>IFERROR(__xludf.DUMMYFUNCTION("""COMPUTED_VALUE"""),"AB_9616_A")</f>
        <v>AB_9616_A</v>
      </c>
      <c r="C413" s="19" t="str">
        <f>IFERROR(__xludf.DUMMYFUNCTION("""COMPUTED_VALUE"""),"CO9616")</f>
        <v>CO9616</v>
      </c>
      <c r="D413" s="19" t="str">
        <f>IFERROR(__xludf.DUMMYFUNCTION("""COMPUTED_VALUE"""),"Ruta D-895 1")</f>
        <v>Ruta D-895 1</v>
      </c>
      <c r="E413" s="19" t="str">
        <f>IFERROR(__xludf.DUMMYFUNCTION("""COMPUTED_VALUE"""),"EN VALIDACION COMPRAS")</f>
        <v>EN VALIDACION COMPRAS</v>
      </c>
      <c r="F413" s="19"/>
      <c r="G413" s="19" t="str">
        <f>IFERROR(__xludf.DUMMYFUNCTION("""COMPUTED_VALUE"""),"CV60")</f>
        <v>CV60</v>
      </c>
      <c r="H413" s="19" t="str">
        <f>IFERROR(__xludf.DUMMYFUNCTION("""COMPUTED_VALUE"""),"DEPROMET")</f>
        <v>DEPROMET</v>
      </c>
      <c r="I413" s="19" t="str">
        <f>IFERROR(__xludf.DUMMYFUNCTION("""COMPUTED_VALUE"""),"Terminada")</f>
        <v>Terminada</v>
      </c>
      <c r="J413" s="20">
        <f>IFERROR(__xludf.DUMMYFUNCTION("""COMPUTED_VALUE"""),45001.0)</f>
        <v>45001</v>
      </c>
      <c r="K413" s="19" t="str">
        <f>IFERROR(__xludf.DUMMYFUNCTION("""COMPUTED_VALUE"""),"Por pintar ")</f>
        <v>Por pintar </v>
      </c>
      <c r="L413" s="20">
        <f>IFERROR(__xludf.DUMMYFUNCTION("""COMPUTED_VALUE"""),45044.0)</f>
        <v>45044</v>
      </c>
      <c r="M413" s="19" t="str">
        <f>IFERROR(__xludf.DUMMYFUNCTION("""COMPUTED_VALUE"""),"PP")</f>
        <v>PP</v>
      </c>
      <c r="N413" s="19" t="str">
        <f>IFERROR(__xludf.DUMMYFUNCTION("""COMPUTED_VALUE"""),"PRIORIDAD 1 Q3 2023 OCTUBRE")</f>
        <v>PRIORIDAD 1 Q3 2023 OCTUBRE</v>
      </c>
    </row>
    <row r="414" ht="15.75" customHeight="1">
      <c r="A414" s="19" t="str">
        <f>IFERROR(__xludf.DUMMYFUNCTION("""COMPUTED_VALUE"""),"AB_9617")</f>
        <v>AB_9617</v>
      </c>
      <c r="B414" s="19" t="str">
        <f>IFERROR(__xludf.DUMMYFUNCTION("""COMPUTED_VALUE"""),"AB_9617_A")</f>
        <v>AB_9617_A</v>
      </c>
      <c r="C414" s="19" t="str">
        <f>IFERROR(__xludf.DUMMYFUNCTION("""COMPUTED_VALUE"""),"CO9617")</f>
        <v>CO9617</v>
      </c>
      <c r="D414" s="19" t="str">
        <f>IFERROR(__xludf.DUMMYFUNCTION("""COMPUTED_VALUE"""),"Ruta D-895 2")</f>
        <v>Ruta D-895 2</v>
      </c>
      <c r="E414" s="19" t="str">
        <f>IFERROR(__xludf.DUMMYFUNCTION("""COMPUTED_VALUE"""),"EN VALIDACION COMPRAS")</f>
        <v>EN VALIDACION COMPRAS</v>
      </c>
      <c r="F414" s="19"/>
      <c r="G414" s="19" t="str">
        <f>IFERROR(__xludf.DUMMYFUNCTION("""COMPUTED_VALUE"""),"CV36")</f>
        <v>CV36</v>
      </c>
      <c r="H414" s="19" t="str">
        <f>IFERROR(__xludf.DUMMYFUNCTION("""COMPUTED_VALUE"""),"INGENIUS")</f>
        <v>INGENIUS</v>
      </c>
      <c r="I414" s="19" t="str">
        <f>IFERROR(__xludf.DUMMYFUNCTION("""COMPUTED_VALUE"""),"Terminada")</f>
        <v>Terminada</v>
      </c>
      <c r="J414" s="20">
        <f>IFERROR(__xludf.DUMMYFUNCTION("""COMPUTED_VALUE"""),45041.0)</f>
        <v>45041</v>
      </c>
      <c r="K414" s="19" t="str">
        <f>IFERROR(__xludf.DUMMYFUNCTION("""COMPUTED_VALUE"""),"Por pintar ")</f>
        <v>Por pintar </v>
      </c>
      <c r="L414" s="20">
        <f>IFERROR(__xludf.DUMMYFUNCTION("""COMPUTED_VALUE"""),45103.0)</f>
        <v>45103</v>
      </c>
      <c r="M414" s="19" t="str">
        <f>IFERROR(__xludf.DUMMYFUNCTION("""COMPUTED_VALUE"""),"PP")</f>
        <v>PP</v>
      </c>
      <c r="N414" s="19" t="str">
        <f>IFERROR(__xludf.DUMMYFUNCTION("""COMPUTED_VALUE"""),"PRIORIDAD 1 Q3 2023 OCTUBRE")</f>
        <v>PRIORIDAD 1 Q3 2023 OCTUBRE</v>
      </c>
    </row>
    <row r="415" ht="15.75" customHeight="1">
      <c r="A415" s="19" t="str">
        <f>IFERROR(__xludf.DUMMYFUNCTION("""COMPUTED_VALUE"""),"AB_9618")</f>
        <v>AB_9618</v>
      </c>
      <c r="B415" s="19" t="str">
        <f>IFERROR(__xludf.DUMMYFUNCTION("""COMPUTED_VALUE"""),"AB_9618_A")</f>
        <v>AB_9618_A</v>
      </c>
      <c r="C415" s="19" t="str">
        <f>IFERROR(__xludf.DUMMYFUNCTION("""COMPUTED_VALUE"""),"CO9618")</f>
        <v>CO9618</v>
      </c>
      <c r="D415" s="19" t="str">
        <f>IFERROR(__xludf.DUMMYFUNCTION("""COMPUTED_VALUE"""),"Ruta D-895 4")</f>
        <v>Ruta D-895 4</v>
      </c>
      <c r="E415" s="19" t="str">
        <f>IFERROR(__xludf.DUMMYFUNCTION("""COMPUTED_VALUE"""),"EN VALIDACION COMPRAS")</f>
        <v>EN VALIDACION COMPRAS</v>
      </c>
      <c r="F415" s="19"/>
      <c r="G415" s="19" t="str">
        <f>IFERROR(__xludf.DUMMYFUNCTION("""COMPUTED_VALUE"""),"CV48")</f>
        <v>CV48</v>
      </c>
      <c r="H415" s="19" t="str">
        <f>IFERROR(__xludf.DUMMYFUNCTION("""COMPUTED_VALUE"""),"MER")</f>
        <v>MER</v>
      </c>
      <c r="I415" s="19" t="str">
        <f>IFERROR(__xludf.DUMMYFUNCTION("""COMPUTED_VALUE"""),"Terminada")</f>
        <v>Terminada</v>
      </c>
      <c r="J415" s="20">
        <f>IFERROR(__xludf.DUMMYFUNCTION("""COMPUTED_VALUE"""),45051.0)</f>
        <v>45051</v>
      </c>
      <c r="K415" s="19" t="str">
        <f>IFERROR(__xludf.DUMMYFUNCTION("""COMPUTED_VALUE"""),"Por pintar ")</f>
        <v>Por pintar </v>
      </c>
      <c r="L415" s="20">
        <f>IFERROR(__xludf.DUMMYFUNCTION("""COMPUTED_VALUE"""),45054.0)</f>
        <v>45054</v>
      </c>
      <c r="M415" s="19" t="str">
        <f>IFERROR(__xludf.DUMMYFUNCTION("""COMPUTED_VALUE"""),"PP")</f>
        <v>PP</v>
      </c>
      <c r="N415" s="19" t="str">
        <f>IFERROR(__xludf.DUMMYFUNCTION("""COMPUTED_VALUE"""),"PRIORIDAD 1 Q3 2023 OCTUBRE")</f>
        <v>PRIORIDAD 1 Q3 2023 OCTUBRE</v>
      </c>
    </row>
    <row r="416" ht="15.75" customHeight="1">
      <c r="A416" s="19" t="str">
        <f>IFERROR(__xludf.DUMMYFUNCTION("""COMPUTED_VALUE"""),"AB_9621")</f>
        <v>AB_9621</v>
      </c>
      <c r="B416" s="19" t="str">
        <f>IFERROR(__xludf.DUMMYFUNCTION("""COMPUTED_VALUE"""),"AB_9621_B")</f>
        <v>AB_9621_B</v>
      </c>
      <c r="C416" s="19" t="str">
        <f>IFERROR(__xludf.DUMMYFUNCTION("""COMPUTED_VALUE"""),"CO9621")</f>
        <v>CO9621</v>
      </c>
      <c r="D416" s="19" t="str">
        <f>IFERROR(__xludf.DUMMYFUNCTION("""COMPUTED_VALUE"""),"Tunga Norte")</f>
        <v>Tunga Norte</v>
      </c>
      <c r="E416" s="19" t="str">
        <f>IFERROR(__xludf.DUMMYFUNCTION("""COMPUTED_VALUE"""),"EN VALIDACION COMPRAS")</f>
        <v>EN VALIDACION COMPRAS</v>
      </c>
      <c r="F416" s="19"/>
      <c r="G416" s="19" t="str">
        <f>IFERROR(__xludf.DUMMYFUNCTION("""COMPUTED_VALUE"""),"CV48")</f>
        <v>CV48</v>
      </c>
      <c r="H416" s="19" t="str">
        <f>IFERROR(__xludf.DUMMYFUNCTION("""COMPUTED_VALUE"""),"INCOSERV")</f>
        <v>INCOSERV</v>
      </c>
      <c r="I416" s="19" t="str">
        <f>IFERROR(__xludf.DUMMYFUNCTION("""COMPUTED_VALUE"""),"Terminada")</f>
        <v>Terminada</v>
      </c>
      <c r="J416" s="20">
        <f>IFERROR(__xludf.DUMMYFUNCTION("""COMPUTED_VALUE"""),45034.0)</f>
        <v>45034</v>
      </c>
      <c r="K416" s="19" t="str">
        <f>IFERROR(__xludf.DUMMYFUNCTION("""COMPUTED_VALUE"""),"Por pintar ")</f>
        <v>Por pintar </v>
      </c>
      <c r="L416" s="20">
        <f>IFERROR(__xludf.DUMMYFUNCTION("""COMPUTED_VALUE"""),45100.0)</f>
        <v>45100</v>
      </c>
      <c r="M416" s="19" t="str">
        <f>IFERROR(__xludf.DUMMYFUNCTION("""COMPUTED_VALUE"""),"PP")</f>
        <v>PP</v>
      </c>
      <c r="N416" s="19" t="str">
        <f>IFERROR(__xludf.DUMMYFUNCTION("""COMPUTED_VALUE"""),"PRIORIDAD 1 Q3 2023 OCTUBRE")</f>
        <v>PRIORIDAD 1 Q3 2023 OCTUBRE</v>
      </c>
    </row>
    <row r="417" ht="15.75" customHeight="1">
      <c r="A417" s="19" t="str">
        <f>IFERROR(__xludf.DUMMYFUNCTION("""COMPUTED_VALUE"""),"AB_9622")</f>
        <v>AB_9622</v>
      </c>
      <c r="B417" s="19" t="str">
        <f>IFERROR(__xludf.DUMMYFUNCTION("""COMPUTED_VALUE"""),"AB_9622_C")</f>
        <v>AB_9622_C</v>
      </c>
      <c r="C417" s="19" t="str">
        <f>IFERROR(__xludf.DUMMYFUNCTION("""COMPUTED_VALUE"""),"CO9622")</f>
        <v>CO9622</v>
      </c>
      <c r="D417" s="19" t="str">
        <f>IFERROR(__xludf.DUMMYFUNCTION("""COMPUTED_VALUE"""),"Tranquila Salamanca")</f>
        <v>Tranquila Salamanca</v>
      </c>
      <c r="E417" s="19" t="str">
        <f>IFERROR(__xludf.DUMMYFUNCTION("""COMPUTED_VALUE"""),"SITIO RFI")</f>
        <v>SITIO RFI</v>
      </c>
      <c r="F417" s="19" t="str">
        <f>IFERROR(__xludf.DUMMYFUNCTION("""COMPUTED_VALUE"""),"RFI")</f>
        <v>RFI</v>
      </c>
      <c r="G417" s="19" t="str">
        <f>IFERROR(__xludf.DUMMYFUNCTION("""COMPUTED_VALUE"""),"CV60")</f>
        <v>CV60</v>
      </c>
      <c r="H417" s="19" t="str">
        <f>IFERROR(__xludf.DUMMYFUNCTION("""COMPUTED_VALUE"""),"DEPROMET")</f>
        <v>DEPROMET</v>
      </c>
      <c r="I417" s="19" t="str">
        <f>IFERROR(__xludf.DUMMYFUNCTION("""COMPUTED_VALUE"""),"Entregada")</f>
        <v>Entregada</v>
      </c>
      <c r="J417" s="20">
        <f>IFERROR(__xludf.DUMMYFUNCTION("""COMPUTED_VALUE"""),45001.0)</f>
        <v>45001</v>
      </c>
      <c r="K417" s="19" t="str">
        <f>IFERROR(__xludf.DUMMYFUNCTION("""COMPUTED_VALUE"""),"Entregada")</f>
        <v>Entregada</v>
      </c>
      <c r="L417" s="20">
        <f>IFERROR(__xludf.DUMMYFUNCTION("""COMPUTED_VALUE"""),45014.0)</f>
        <v>45014</v>
      </c>
      <c r="M417" s="19" t="str">
        <f>IFERROR(__xludf.DUMMYFUNCTION("""COMPUTED_VALUE"""),"PP")</f>
        <v>PP</v>
      </c>
      <c r="N417" s="19" t="str">
        <f>IFERROR(__xludf.DUMMYFUNCTION("""COMPUTED_VALUE"""),"PRIORIDAD 1 Q3 2023 OCTUBRE")</f>
        <v>PRIORIDAD 1 Q3 2023 OCTUBRE</v>
      </c>
    </row>
    <row r="418" ht="15.75" customHeight="1">
      <c r="A418" s="19" t="str">
        <f>IFERROR(__xludf.DUMMYFUNCTION("""COMPUTED_VALUE"""),"AB_9623")</f>
        <v>AB_9623</v>
      </c>
      <c r="B418" s="19" t="str">
        <f>IFERROR(__xludf.DUMMYFUNCTION("""COMPUTED_VALUE"""),"AB_9623_A")</f>
        <v>AB_9623_A</v>
      </c>
      <c r="C418" s="19" t="str">
        <f>IFERROR(__xludf.DUMMYFUNCTION("""COMPUTED_VALUE"""),"CO9623")</f>
        <v>CO9623</v>
      </c>
      <c r="D418" s="19" t="str">
        <f>IFERROR(__xludf.DUMMYFUNCTION("""COMPUTED_VALUE"""),"Ruta 5 Punta Palmeras")</f>
        <v>Ruta 5 Punta Palmeras</v>
      </c>
      <c r="E418" s="19" t="str">
        <f>IFERROR(__xludf.DUMMYFUNCTION("""COMPUTED_VALUE"""),"SITIO ASIGNADO")</f>
        <v>SITIO ASIGNADO</v>
      </c>
      <c r="F418" s="19"/>
      <c r="G418" s="19" t="str">
        <f>IFERROR(__xludf.DUMMYFUNCTION("""COMPUTED_VALUE"""),"AS60")</f>
        <v>AS60</v>
      </c>
      <c r="H418" s="19" t="str">
        <f>IFERROR(__xludf.DUMMYFUNCTION("""COMPUTED_VALUE"""),"MER")</f>
        <v>MER</v>
      </c>
      <c r="I418" s="19" t="str">
        <f>IFERROR(__xludf.DUMMYFUNCTION("""COMPUTED_VALUE"""),"Terminada")</f>
        <v>Terminada</v>
      </c>
      <c r="J418" s="20">
        <f>IFERROR(__xludf.DUMMYFUNCTION("""COMPUTED_VALUE"""),44862.0)</f>
        <v>44862</v>
      </c>
      <c r="K418" s="19" t="str">
        <f>IFERROR(__xludf.DUMMYFUNCTION("""COMPUTED_VALUE"""),"Por pintar ")</f>
        <v>Por pintar </v>
      </c>
      <c r="L418" s="20">
        <f>IFERROR(__xludf.DUMMYFUNCTION("""COMPUTED_VALUE"""),44883.0)</f>
        <v>44883</v>
      </c>
      <c r="M418" s="19" t="str">
        <f>IFERROR(__xludf.DUMMYFUNCTION("""COMPUTED_VALUE"""),"PP")</f>
        <v>PP</v>
      </c>
      <c r="N418" s="19" t="str">
        <f>IFERROR(__xludf.DUMMYFUNCTION("""COMPUTED_VALUE"""),"PRIORIDAD 1 Q3 2023 OCTUBRE")</f>
        <v>PRIORIDAD 1 Q3 2023 OCTUBRE</v>
      </c>
    </row>
    <row r="419" ht="15.75" customHeight="1">
      <c r="A419" s="19" t="str">
        <f>IFERROR(__xludf.DUMMYFUNCTION("""COMPUTED_VALUE"""),"AB_9624")</f>
        <v>AB_9624</v>
      </c>
      <c r="B419" s="19" t="str">
        <f>IFERROR(__xludf.DUMMYFUNCTION("""COMPUTED_VALUE"""),"AB_9624_A")</f>
        <v>AB_9624_A</v>
      </c>
      <c r="C419" s="19" t="str">
        <f>IFERROR(__xludf.DUMMYFUNCTION("""COMPUTED_VALUE"""),"CO9624")</f>
        <v>CO9624</v>
      </c>
      <c r="D419" s="19" t="str">
        <f>IFERROR(__xludf.DUMMYFUNCTION("""COMPUTED_VALUE"""),"Mantos de Hornillos Pueblo")</f>
        <v>Mantos de Hornillos Pueblo</v>
      </c>
      <c r="E419" s="19" t="str">
        <f>IFERROR(__xludf.DUMMYFUNCTION("""COMPUTED_VALUE"""),"SITIO RFI")</f>
        <v>SITIO RFI</v>
      </c>
      <c r="F419" s="19" t="str">
        <f>IFERROR(__xludf.DUMMYFUNCTION("""COMPUTED_VALUE"""),"RFI")</f>
        <v>RFI</v>
      </c>
      <c r="G419" s="19" t="str">
        <f>IFERROR(__xludf.DUMMYFUNCTION("""COMPUTED_VALUE"""),"CV48")</f>
        <v>CV48</v>
      </c>
      <c r="H419" s="19" t="str">
        <f>IFERROR(__xludf.DUMMYFUNCTION("""COMPUTED_VALUE"""),"MER")</f>
        <v>MER</v>
      </c>
      <c r="I419" s="19" t="str">
        <f>IFERROR(__xludf.DUMMYFUNCTION("""COMPUTED_VALUE"""),"Entregada")</f>
        <v>Entregada</v>
      </c>
      <c r="J419" s="20">
        <f>IFERROR(__xludf.DUMMYFUNCTION("""COMPUTED_VALUE"""),45051.0)</f>
        <v>45051</v>
      </c>
      <c r="K419" s="19" t="str">
        <f>IFERROR(__xludf.DUMMYFUNCTION("""COMPUTED_VALUE"""),"Entregada")</f>
        <v>Entregada</v>
      </c>
      <c r="L419" s="20">
        <f>IFERROR(__xludf.DUMMYFUNCTION("""COMPUTED_VALUE"""),45054.0)</f>
        <v>45054</v>
      </c>
      <c r="M419" s="19" t="str">
        <f>IFERROR(__xludf.DUMMYFUNCTION("""COMPUTED_VALUE"""),"PP")</f>
        <v>PP</v>
      </c>
      <c r="N419" s="19" t="str">
        <f>IFERROR(__xludf.DUMMYFUNCTION("""COMPUTED_VALUE"""),"PRIORIDAD 1 Q3 2023 OCTUBRE")</f>
        <v>PRIORIDAD 1 Q3 2023 OCTUBRE</v>
      </c>
    </row>
    <row r="420" ht="15.75" customHeight="1">
      <c r="A420" s="19" t="str">
        <f>IFERROR(__xludf.DUMMYFUNCTION("""COMPUTED_VALUE"""),"AB_9626")</f>
        <v>AB_9626</v>
      </c>
      <c r="B420" s="19" t="str">
        <f>IFERROR(__xludf.DUMMYFUNCTION("""COMPUTED_VALUE"""),"AB_9626_A")</f>
        <v>AB_9626_A</v>
      </c>
      <c r="C420" s="19" t="str">
        <f>IFERROR(__xludf.DUMMYFUNCTION("""COMPUTED_VALUE"""),"CO9626")</f>
        <v>CO9626</v>
      </c>
      <c r="D420" s="19" t="str">
        <f>IFERROR(__xludf.DUMMYFUNCTION("""COMPUTED_VALUE"""),"Ruta 5 Tongoy - Guanaqueros")</f>
        <v>Ruta 5 Tongoy - Guanaqueros</v>
      </c>
      <c r="E420" s="19" t="str">
        <f>IFERROR(__xludf.DUMMYFUNCTION("""COMPUTED_VALUE"""),"SITIO RFI")</f>
        <v>SITIO RFI</v>
      </c>
      <c r="F420" s="19" t="str">
        <f>IFERROR(__xludf.DUMMYFUNCTION("""COMPUTED_VALUE"""),"RFI")</f>
        <v>RFI</v>
      </c>
      <c r="G420" s="19" t="str">
        <f>IFERROR(__xludf.DUMMYFUNCTION("""COMPUTED_VALUE"""),"AS60")</f>
        <v>AS60</v>
      </c>
      <c r="H420" s="19" t="str">
        <f>IFERROR(__xludf.DUMMYFUNCTION("""COMPUTED_VALUE"""),"MER")</f>
        <v>MER</v>
      </c>
      <c r="I420" s="19" t="str">
        <f>IFERROR(__xludf.DUMMYFUNCTION("""COMPUTED_VALUE"""),"Entregada")</f>
        <v>Entregada</v>
      </c>
      <c r="J420" s="20">
        <f>IFERROR(__xludf.DUMMYFUNCTION("""COMPUTED_VALUE"""),44876.0)</f>
        <v>44876</v>
      </c>
      <c r="K420" s="19" t="str">
        <f>IFERROR(__xludf.DUMMYFUNCTION("""COMPUTED_VALUE"""),"Entregada")</f>
        <v>Entregada</v>
      </c>
      <c r="L420" s="20">
        <f>IFERROR(__xludf.DUMMYFUNCTION("""COMPUTED_VALUE"""),44904.0)</f>
        <v>44904</v>
      </c>
      <c r="M420" s="19" t="str">
        <f>IFERROR(__xludf.DUMMYFUNCTION("""COMPUTED_VALUE"""),"PP")</f>
        <v>PP</v>
      </c>
      <c r="N420" s="19" t="str">
        <f>IFERROR(__xludf.DUMMYFUNCTION("""COMPUTED_VALUE"""),"PRIORIDAD 1 Q3 2023 OCTUBRE")</f>
        <v>PRIORIDAD 1 Q3 2023 OCTUBRE</v>
      </c>
    </row>
    <row r="421" ht="15.75" customHeight="1">
      <c r="A421" s="19" t="str">
        <f>IFERROR(__xludf.DUMMYFUNCTION("""COMPUTED_VALUE"""),"AB_9628")</f>
        <v>AB_9628</v>
      </c>
      <c r="B421" s="19" t="str">
        <f>IFERROR(__xludf.DUMMYFUNCTION("""COMPUTED_VALUE"""),"AB_9628_B")</f>
        <v>AB_9628_B</v>
      </c>
      <c r="C421" s="19" t="str">
        <f>IFERROR(__xludf.DUMMYFUNCTION("""COMPUTED_VALUE"""),"CO9628")</f>
        <v>CO9628</v>
      </c>
      <c r="D421" s="19" t="str">
        <f>IFERROR(__xludf.DUMMYFUNCTION("""COMPUTED_VALUE"""),"Ruta 5 Bahia Arrayan")</f>
        <v>Ruta 5 Bahia Arrayan</v>
      </c>
      <c r="E421" s="19" t="str">
        <f>IFERROR(__xludf.DUMMYFUNCTION("""COMPUTED_VALUE"""),"SITIO RFI")</f>
        <v>SITIO RFI</v>
      </c>
      <c r="F421" s="19" t="str">
        <f>IFERROR(__xludf.DUMMYFUNCTION("""COMPUTED_VALUE"""),"RFI")</f>
        <v>RFI</v>
      </c>
      <c r="G421" s="19" t="str">
        <f>IFERROR(__xludf.DUMMYFUNCTION("""COMPUTED_VALUE"""),"AS42")</f>
        <v>AS42</v>
      </c>
      <c r="H421" s="19" t="str">
        <f>IFERROR(__xludf.DUMMYFUNCTION("""COMPUTED_VALUE"""),"MER")</f>
        <v>MER</v>
      </c>
      <c r="I421" s="19" t="str">
        <f>IFERROR(__xludf.DUMMYFUNCTION("""COMPUTED_VALUE"""),"Entregada")</f>
        <v>Entregada</v>
      </c>
      <c r="J421" s="20">
        <f>IFERROR(__xludf.DUMMYFUNCTION("""COMPUTED_VALUE"""),44862.0)</f>
        <v>44862</v>
      </c>
      <c r="K421" s="19" t="str">
        <f>IFERROR(__xludf.DUMMYFUNCTION("""COMPUTED_VALUE"""),"Entregada")</f>
        <v>Entregada</v>
      </c>
      <c r="L421" s="20">
        <f>IFERROR(__xludf.DUMMYFUNCTION("""COMPUTED_VALUE"""),44890.0)</f>
        <v>44890</v>
      </c>
      <c r="M421" s="19" t="str">
        <f>IFERROR(__xludf.DUMMYFUNCTION("""COMPUTED_VALUE"""),"PP")</f>
        <v>PP</v>
      </c>
      <c r="N421" s="19" t="str">
        <f>IFERROR(__xludf.DUMMYFUNCTION("""COMPUTED_VALUE"""),"PRIORIDAD 1 Q3 2023 OCTUBRE")</f>
        <v>PRIORIDAD 1 Q3 2023 OCTUBRE</v>
      </c>
    </row>
    <row r="422" ht="15.75" customHeight="1">
      <c r="A422" s="19" t="str">
        <f>IFERROR(__xludf.DUMMYFUNCTION("""COMPUTED_VALUE"""),"AB_9629")</f>
        <v>AB_9629</v>
      </c>
      <c r="B422" s="19" t="str">
        <f>IFERROR(__xludf.DUMMYFUNCTION("""COMPUTED_VALUE"""),"AB_9629_C")</f>
        <v>AB_9629_C</v>
      </c>
      <c r="C422" s="19" t="str">
        <f>IFERROR(__xludf.DUMMYFUNCTION("""COMPUTED_VALUE"""),"CO9629")</f>
        <v>CO9629</v>
      </c>
      <c r="D422" s="19" t="str">
        <f>IFERROR(__xludf.DUMMYFUNCTION("""COMPUTED_VALUE"""),"Talinay Oriente")</f>
        <v>Talinay Oriente</v>
      </c>
      <c r="E422" s="19" t="str">
        <f>IFERROR(__xludf.DUMMYFUNCTION("""COMPUTED_VALUE"""),"SITIO RFI")</f>
        <v>SITIO RFI</v>
      </c>
      <c r="F422" s="19" t="str">
        <f>IFERROR(__xludf.DUMMYFUNCTION("""COMPUTED_VALUE"""),"RFI")</f>
        <v>RFI</v>
      </c>
      <c r="G422" s="19" t="str">
        <f>IFERROR(__xludf.DUMMYFUNCTION("""COMPUTED_VALUE"""),"CV60")</f>
        <v>CV60</v>
      </c>
      <c r="H422" s="19" t="str">
        <f>IFERROR(__xludf.DUMMYFUNCTION("""COMPUTED_VALUE"""),"DEPROMET")</f>
        <v>DEPROMET</v>
      </c>
      <c r="I422" s="19" t="str">
        <f>IFERROR(__xludf.DUMMYFUNCTION("""COMPUTED_VALUE"""),"Entregada")</f>
        <v>Entregada</v>
      </c>
      <c r="J422" s="20">
        <f>IFERROR(__xludf.DUMMYFUNCTION("""COMPUTED_VALUE"""),45001.0)</f>
        <v>45001</v>
      </c>
      <c r="K422" s="19" t="str">
        <f>IFERROR(__xludf.DUMMYFUNCTION("""COMPUTED_VALUE"""),"Entregada")</f>
        <v>Entregada</v>
      </c>
      <c r="L422" s="20">
        <f>IFERROR(__xludf.DUMMYFUNCTION("""COMPUTED_VALUE"""),45051.0)</f>
        <v>45051</v>
      </c>
      <c r="M422" s="19" t="str">
        <f>IFERROR(__xludf.DUMMYFUNCTION("""COMPUTED_VALUE"""),"PP")</f>
        <v>PP</v>
      </c>
      <c r="N422" s="19" t="str">
        <f>IFERROR(__xludf.DUMMYFUNCTION("""COMPUTED_VALUE"""),"PRIORIDAD 1 Q3 2023 OCTUBRE")</f>
        <v>PRIORIDAD 1 Q3 2023 OCTUBRE</v>
      </c>
    </row>
    <row r="423" ht="15.75" customHeight="1">
      <c r="A423" s="19" t="str">
        <f>IFERROR(__xludf.DUMMYFUNCTION("""COMPUTED_VALUE"""),"AB_9630")</f>
        <v>AB_9630</v>
      </c>
      <c r="B423" s="19" t="str">
        <f>IFERROR(__xludf.DUMMYFUNCTION("""COMPUTED_VALUE"""),"AB_9630_A")</f>
        <v>AB_9630_A</v>
      </c>
      <c r="C423" s="19" t="str">
        <f>IFERROR(__xludf.DUMMYFUNCTION("""COMPUTED_VALUE"""),"CO9630")</f>
        <v>CO9630</v>
      </c>
      <c r="D423" s="19" t="str">
        <f>IFERROR(__xludf.DUMMYFUNCTION("""COMPUTED_VALUE"""),"Ruta 5 Huentelauquen")</f>
        <v>Ruta 5 Huentelauquen</v>
      </c>
      <c r="E423" s="19" t="str">
        <f>IFERROR(__xludf.DUMMYFUNCTION("""COMPUTED_VALUE"""),"SITIO RFI")</f>
        <v>SITIO RFI</v>
      </c>
      <c r="F423" s="19" t="str">
        <f>IFERROR(__xludf.DUMMYFUNCTION("""COMPUTED_VALUE"""),"RFI")</f>
        <v>RFI</v>
      </c>
      <c r="G423" s="19" t="str">
        <f>IFERROR(__xludf.DUMMYFUNCTION("""COMPUTED_VALUE"""),"AS36")</f>
        <v>AS36</v>
      </c>
      <c r="H423" s="19" t="str">
        <f>IFERROR(__xludf.DUMMYFUNCTION("""COMPUTED_VALUE"""),"REDSITE")</f>
        <v>REDSITE</v>
      </c>
      <c r="I423" s="19" t="str">
        <f>IFERROR(__xludf.DUMMYFUNCTION("""COMPUTED_VALUE"""),"Entregada")</f>
        <v>Entregada</v>
      </c>
      <c r="J423" s="20">
        <f>IFERROR(__xludf.DUMMYFUNCTION("""COMPUTED_VALUE"""),44665.0)</f>
        <v>44665</v>
      </c>
      <c r="K423" s="19" t="str">
        <f>IFERROR(__xludf.DUMMYFUNCTION("""COMPUTED_VALUE"""),"Entregada")</f>
        <v>Entregada</v>
      </c>
      <c r="L423" s="20">
        <f>IFERROR(__xludf.DUMMYFUNCTION("""COMPUTED_VALUE"""),44525.0)</f>
        <v>44525</v>
      </c>
      <c r="M423" s="19" t="str">
        <f>IFERROR(__xludf.DUMMYFUNCTION("""COMPUTED_VALUE"""),"PCM")</f>
        <v>PCM</v>
      </c>
      <c r="N423" s="19" t="str">
        <f>IFERROR(__xludf.DUMMYFUNCTION("""COMPUTED_VALUE"""),"PRIORIDAD 1 Q3 2023 OCTUBRE")</f>
        <v>PRIORIDAD 1 Q3 2023 OCTUBRE</v>
      </c>
    </row>
    <row r="424" ht="15.75" customHeight="1">
      <c r="A424" s="19" t="str">
        <f>IFERROR(__xludf.DUMMYFUNCTION("""COMPUTED_VALUE"""),"AB_9631")</f>
        <v>AB_9631</v>
      </c>
      <c r="B424" s="19" t="str">
        <f>IFERROR(__xludf.DUMMYFUNCTION("""COMPUTED_VALUE"""),"AB_9631_B")</f>
        <v>AB_9631_B</v>
      </c>
      <c r="C424" s="19" t="str">
        <f>IFERROR(__xludf.DUMMYFUNCTION("""COMPUTED_VALUE"""),"CO9631")</f>
        <v>CO9631</v>
      </c>
      <c r="D424" s="19" t="str">
        <f>IFERROR(__xludf.DUMMYFUNCTION("""COMPUTED_VALUE"""),"Rio Choapa Illapel")</f>
        <v>Rio Choapa Illapel</v>
      </c>
      <c r="E424" s="19" t="str">
        <f>IFERROR(__xludf.DUMMYFUNCTION("""COMPUTED_VALUE"""),"EN VALIDACION COMPRAS")</f>
        <v>EN VALIDACION COMPRAS</v>
      </c>
      <c r="F424" s="19"/>
      <c r="G424" s="19" t="str">
        <f>IFERROR(__xludf.DUMMYFUNCTION("""COMPUTED_VALUE"""),"CV60")</f>
        <v>CV60</v>
      </c>
      <c r="H424" s="19" t="str">
        <f>IFERROR(__xludf.DUMMYFUNCTION("""COMPUTED_VALUE"""),"DEPROMET")</f>
        <v>DEPROMET</v>
      </c>
      <c r="I424" s="19" t="str">
        <f>IFERROR(__xludf.DUMMYFUNCTION("""COMPUTED_VALUE"""),"Terminada")</f>
        <v>Terminada</v>
      </c>
      <c r="J424" s="20">
        <f>IFERROR(__xludf.DUMMYFUNCTION("""COMPUTED_VALUE"""),45001.0)</f>
        <v>45001</v>
      </c>
      <c r="K424" s="19" t="str">
        <f>IFERROR(__xludf.DUMMYFUNCTION("""COMPUTED_VALUE"""),"Terminada")</f>
        <v>Terminada</v>
      </c>
      <c r="L424" s="20">
        <f>IFERROR(__xludf.DUMMYFUNCTION("""COMPUTED_VALUE"""),45051.0)</f>
        <v>45051</v>
      </c>
      <c r="M424" s="19" t="str">
        <f>IFERROR(__xludf.DUMMYFUNCTION("""COMPUTED_VALUE"""),"PP")</f>
        <v>PP</v>
      </c>
      <c r="N424" s="19" t="str">
        <f>IFERROR(__xludf.DUMMYFUNCTION("""COMPUTED_VALUE"""),"PRIORIDAD 1 Q3 2023 OCTUBRE")</f>
        <v>PRIORIDAD 1 Q3 2023 OCTUBRE</v>
      </c>
    </row>
    <row r="425" ht="15.75" customHeight="1">
      <c r="A425" s="19" t="str">
        <f>IFERROR(__xludf.DUMMYFUNCTION("""COMPUTED_VALUE"""),"AB_9632")</f>
        <v>AB_9632</v>
      </c>
      <c r="B425" s="19" t="str">
        <f>IFERROR(__xludf.DUMMYFUNCTION("""COMPUTED_VALUE"""),"AB_9632_A")</f>
        <v>AB_9632_A</v>
      </c>
      <c r="C425" s="19" t="str">
        <f>IFERROR(__xludf.DUMMYFUNCTION("""COMPUTED_VALUE"""),"CO9632")</f>
        <v>CO9632</v>
      </c>
      <c r="D425" s="19" t="str">
        <f>IFERROR(__xludf.DUMMYFUNCTION("""COMPUTED_VALUE"""),"Ruta D-835 Santa Rosa")</f>
        <v>Ruta D-835 Santa Rosa</v>
      </c>
      <c r="E425" s="19" t="str">
        <f>IFERROR(__xludf.DUMMYFUNCTION("""COMPUTED_VALUE"""),"SITIO RFI")</f>
        <v>SITIO RFI</v>
      </c>
      <c r="F425" s="19" t="str">
        <f>IFERROR(__xludf.DUMMYFUNCTION("""COMPUTED_VALUE"""),"RFI")</f>
        <v>RFI</v>
      </c>
      <c r="G425" s="19" t="str">
        <f>IFERROR(__xludf.DUMMYFUNCTION("""COMPUTED_VALUE"""),"AS36")</f>
        <v>AS36</v>
      </c>
      <c r="H425" s="19" t="str">
        <f>IFERROR(__xludf.DUMMYFUNCTION("""COMPUTED_VALUE"""),"JTI")</f>
        <v>JTI</v>
      </c>
      <c r="I425" s="19" t="str">
        <f>IFERROR(__xludf.DUMMYFUNCTION("""COMPUTED_VALUE"""),"Entregada")</f>
        <v>Entregada</v>
      </c>
      <c r="J425" s="20">
        <f>IFERROR(__xludf.DUMMYFUNCTION("""COMPUTED_VALUE"""),45000.0)</f>
        <v>45000</v>
      </c>
      <c r="K425" s="19" t="str">
        <f>IFERROR(__xludf.DUMMYFUNCTION("""COMPUTED_VALUE"""),"Entregada")</f>
        <v>Entregada</v>
      </c>
      <c r="L425" s="20">
        <f>IFERROR(__xludf.DUMMYFUNCTION("""COMPUTED_VALUE"""),45000.0)</f>
        <v>45000</v>
      </c>
      <c r="M425" s="19" t="str">
        <f>IFERROR(__xludf.DUMMYFUNCTION("""COMPUTED_VALUE"""),"PP")</f>
        <v>PP</v>
      </c>
      <c r="N425" s="19" t="str">
        <f>IFERROR(__xludf.DUMMYFUNCTION("""COMPUTED_VALUE"""),"PRIORIDAD 1 Q3 2023 OCTUBRE")</f>
        <v>PRIORIDAD 1 Q3 2023 OCTUBRE</v>
      </c>
    </row>
    <row r="426" ht="15.75" customHeight="1">
      <c r="A426" s="19" t="str">
        <f>IFERROR(__xludf.DUMMYFUNCTION("""COMPUTED_VALUE"""),"AB_9633")</f>
        <v>AB_9633</v>
      </c>
      <c r="B426" s="19" t="str">
        <f>IFERROR(__xludf.DUMMYFUNCTION("""COMPUTED_VALUE"""),"AB_9633_C")</f>
        <v>AB_9633_C</v>
      </c>
      <c r="C426" s="19" t="str">
        <f>IFERROR(__xludf.DUMMYFUNCTION("""COMPUTED_VALUE"""),"CO9633")</f>
        <v>CO9633</v>
      </c>
      <c r="D426" s="19" t="str">
        <f>IFERROR(__xludf.DUMMYFUNCTION("""COMPUTED_VALUE"""),"Panguecillo Salamanca")</f>
        <v>Panguecillo Salamanca</v>
      </c>
      <c r="E426" s="19" t="str">
        <f>IFERROR(__xludf.DUMMYFUNCTION("""COMPUTED_VALUE"""),"SITIO RFI")</f>
        <v>SITIO RFI</v>
      </c>
      <c r="F426" s="19" t="str">
        <f>IFERROR(__xludf.DUMMYFUNCTION("""COMPUTED_VALUE"""),"MONTAJE")</f>
        <v>MONTAJE</v>
      </c>
      <c r="G426" s="19" t="str">
        <f>IFERROR(__xludf.DUMMYFUNCTION("""COMPUTED_VALUE"""),"CV36")</f>
        <v>CV36</v>
      </c>
      <c r="H426" s="19" t="str">
        <f>IFERROR(__xludf.DUMMYFUNCTION("""COMPUTED_VALUE"""),"INGENIUS")</f>
        <v>INGENIUS</v>
      </c>
      <c r="I426" s="19" t="str">
        <f>IFERROR(__xludf.DUMMYFUNCTION("""COMPUTED_VALUE"""),"Entregada")</f>
        <v>Entregada</v>
      </c>
      <c r="J426" s="20">
        <f>IFERROR(__xludf.DUMMYFUNCTION("""COMPUTED_VALUE"""),45041.0)</f>
        <v>45041</v>
      </c>
      <c r="K426" s="19" t="str">
        <f>IFERROR(__xludf.DUMMYFUNCTION("""COMPUTED_VALUE"""),"Entregada")</f>
        <v>Entregada</v>
      </c>
      <c r="L426" s="20">
        <f>IFERROR(__xludf.DUMMYFUNCTION("""COMPUTED_VALUE"""),45124.0)</f>
        <v>45124</v>
      </c>
      <c r="M426" s="19" t="str">
        <f>IFERROR(__xludf.DUMMYFUNCTION("""COMPUTED_VALUE"""),"PP")</f>
        <v>PP</v>
      </c>
      <c r="N426" s="19" t="str">
        <f>IFERROR(__xludf.DUMMYFUNCTION("""COMPUTED_VALUE"""),"PRIORIDAD 1 Q3 2023 OCTUBRE")</f>
        <v>PRIORIDAD 1 Q3 2023 OCTUBRE</v>
      </c>
    </row>
    <row r="427" ht="15.75" customHeight="1">
      <c r="A427" s="19" t="str">
        <f>IFERROR(__xludf.DUMMYFUNCTION("""COMPUTED_VALUE"""),"AB_9634")</f>
        <v>AB_9634</v>
      </c>
      <c r="B427" s="19" t="str">
        <f>IFERROR(__xludf.DUMMYFUNCTION("""COMPUTED_VALUE"""),"AB_9634_C")</f>
        <v>AB_9634_C</v>
      </c>
      <c r="C427" s="19" t="str">
        <f>IFERROR(__xludf.DUMMYFUNCTION("""COMPUTED_VALUE"""),"CO9634")</f>
        <v>CO9634</v>
      </c>
      <c r="D427" s="19" t="str">
        <f>IFERROR(__xludf.DUMMYFUNCTION("""COMPUTED_VALUE"""),"Ruta 5 Puerto Manso")</f>
        <v>Ruta 5 Puerto Manso</v>
      </c>
      <c r="E427" s="19" t="str">
        <f>IFERROR(__xludf.DUMMYFUNCTION("""COMPUTED_VALUE"""),"SITIO RFI")</f>
        <v>SITIO RFI</v>
      </c>
      <c r="F427" s="19" t="str">
        <f>IFERROR(__xludf.DUMMYFUNCTION("""COMPUTED_VALUE"""),"RFI")</f>
        <v>RFI</v>
      </c>
      <c r="G427" s="19" t="str">
        <f>IFERROR(__xludf.DUMMYFUNCTION("""COMPUTED_VALUE"""),"CV42")</f>
        <v>CV42</v>
      </c>
      <c r="H427" s="19" t="str">
        <f>IFERROR(__xludf.DUMMYFUNCTION("""COMPUTED_VALUE"""),"SYC")</f>
        <v>SYC</v>
      </c>
      <c r="I427" s="19" t="str">
        <f>IFERROR(__xludf.DUMMYFUNCTION("""COMPUTED_VALUE"""),"Entregada")</f>
        <v>Entregada</v>
      </c>
      <c r="J427" s="20">
        <f>IFERROR(__xludf.DUMMYFUNCTION("""COMPUTED_VALUE"""),44854.0)</f>
        <v>44854</v>
      </c>
      <c r="K427" s="19" t="str">
        <f>IFERROR(__xludf.DUMMYFUNCTION("""COMPUTED_VALUE"""),"Entregada")</f>
        <v>Entregada</v>
      </c>
      <c r="L427" s="20">
        <f>IFERROR(__xludf.DUMMYFUNCTION("""COMPUTED_VALUE"""),44869.0)</f>
        <v>44869</v>
      </c>
      <c r="M427" s="19" t="str">
        <f>IFERROR(__xludf.DUMMYFUNCTION("""COMPUTED_VALUE"""),"LLOO")</f>
        <v>LLOO</v>
      </c>
      <c r="N427" s="19" t="str">
        <f>IFERROR(__xludf.DUMMYFUNCTION("""COMPUTED_VALUE"""),"PRIORIDAD 1 Q3 2023 OCTUBRE")</f>
        <v>PRIORIDAD 1 Q3 2023 OCTUBRE</v>
      </c>
    </row>
    <row r="428" ht="15.75" customHeight="1">
      <c r="A428" s="19" t="str">
        <f>IFERROR(__xludf.DUMMYFUNCTION("""COMPUTED_VALUE"""),"AB_9876")</f>
        <v>AB_9876</v>
      </c>
      <c r="B428" s="19" t="str">
        <f>IFERROR(__xludf.DUMMYFUNCTION("""COMPUTED_VALUE"""),"AB_9876_D")</f>
        <v>AB_9876_D</v>
      </c>
      <c r="C428" s="19" t="str">
        <f>IFERROR(__xludf.DUMMYFUNCTION("""COMPUTED_VALUE"""),"AY9876")</f>
        <v>AY9876</v>
      </c>
      <c r="D428" s="19" t="str">
        <f>IFERROR(__xludf.DUMMYFUNCTION("""COMPUTED_VALUE"""),"LLOO Los Mellizos - El Salto")</f>
        <v>LLOO Los Mellizos - El Salto</v>
      </c>
      <c r="E428" s="19" t="str">
        <f>IFERROR(__xludf.DUMMYFUNCTION("""COMPUTED_VALUE"""),"SITIO CONSTRUIDO")</f>
        <v>SITIO CONSTRUIDO</v>
      </c>
      <c r="F428" s="19" t="str">
        <f>IFERROR(__xludf.DUMMYFUNCTION("""COMPUTED_VALUE"""),"EXCAVACION")</f>
        <v>EXCAVACION</v>
      </c>
      <c r="G428" s="19" t="str">
        <f>IFERROR(__xludf.DUMMYFUNCTION("""COMPUTED_VALUE"""),"CV60 (H)")</f>
        <v>CV60 (H)</v>
      </c>
      <c r="H428" s="19" t="str">
        <f>IFERROR(__xludf.DUMMYFUNCTION("""COMPUTED_VALUE"""),"AJ")</f>
        <v>AJ</v>
      </c>
      <c r="I428" s="19" t="str">
        <f>IFERROR(__xludf.DUMMYFUNCTION("""COMPUTED_VALUE"""),"Entregada")</f>
        <v>Entregada</v>
      </c>
      <c r="J428" s="20">
        <f>IFERROR(__xludf.DUMMYFUNCTION("""COMPUTED_VALUE"""),44698.0)</f>
        <v>44698</v>
      </c>
      <c r="K428" s="19" t="str">
        <f>IFERROR(__xludf.DUMMYFUNCTION("""COMPUTED_VALUE"""),"Entregada")</f>
        <v>Entregada</v>
      </c>
      <c r="L428" s="20">
        <f>IFERROR(__xludf.DUMMYFUNCTION("""COMPUTED_VALUE"""),44838.0)</f>
        <v>44838</v>
      </c>
      <c r="M428" s="19" t="str">
        <f>IFERROR(__xludf.DUMMYFUNCTION("""COMPUTED_VALUE"""),"PCM")</f>
        <v>PCM</v>
      </c>
      <c r="N428" s="19" t="str">
        <f>IFERROR(__xludf.DUMMYFUNCTION("""COMPUTED_VALUE"""),"PRIORIDAD 1 Q3 2023 OCTUBRE")</f>
        <v>PRIORIDAD 1 Q3 2023 OCTUBRE</v>
      </c>
    </row>
    <row r="429" ht="15.75" customHeight="1">
      <c r="A429" s="19" t="str">
        <f>IFERROR(__xludf.DUMMYFUNCTION("""COMPUTED_VALUE"""),"AB_9709")</f>
        <v>AB_9709</v>
      </c>
      <c r="B429" s="19" t="str">
        <f>IFERROR(__xludf.DUMMYFUNCTION("""COMPUTED_VALUE"""),"AB_9709_A")</f>
        <v>AB_9709_A</v>
      </c>
      <c r="C429" s="19" t="str">
        <f>IFERROR(__xludf.DUMMYFUNCTION("""COMPUTED_VALUE"""),"CO9709")</f>
        <v>CO9709</v>
      </c>
      <c r="D429" s="19" t="str">
        <f>IFERROR(__xludf.DUMMYFUNCTION("""COMPUTED_VALUE"""),"Potrerillos Alto Ovalle")</f>
        <v>Potrerillos Alto Ovalle</v>
      </c>
      <c r="E429" s="19" t="str">
        <f>IFERROR(__xludf.DUMMYFUNCTION("""COMPUTED_VALUE"""),"SITIO RFI")</f>
        <v>SITIO RFI</v>
      </c>
      <c r="F429" s="19" t="str">
        <f>IFERROR(__xludf.DUMMYFUNCTION("""COMPUTED_VALUE"""),"RFI")</f>
        <v>RFI</v>
      </c>
      <c r="G429" s="19" t="str">
        <f>IFERROR(__xludf.DUMMYFUNCTION("""COMPUTED_VALUE"""),"CV30")</f>
        <v>CV30</v>
      </c>
      <c r="H429" s="19" t="str">
        <f>IFERROR(__xludf.DUMMYFUNCTION("""COMPUTED_VALUE"""),"MARJOS")</f>
        <v>MARJOS</v>
      </c>
      <c r="I429" s="19" t="str">
        <f>IFERROR(__xludf.DUMMYFUNCTION("""COMPUTED_VALUE"""),"Entregada")</f>
        <v>Entregada</v>
      </c>
      <c r="J429" s="20">
        <f>IFERROR(__xludf.DUMMYFUNCTION("""COMPUTED_VALUE"""),44882.0)</f>
        <v>44882</v>
      </c>
      <c r="K429" s="19" t="str">
        <f>IFERROR(__xludf.DUMMYFUNCTION("""COMPUTED_VALUE"""),"Entregada")</f>
        <v>Entregada</v>
      </c>
      <c r="L429" s="20">
        <f>IFERROR(__xludf.DUMMYFUNCTION("""COMPUTED_VALUE"""),44890.0)</f>
        <v>44890</v>
      </c>
      <c r="M429" s="19" t="str">
        <f>IFERROR(__xludf.DUMMYFUNCTION("""COMPUTED_VALUE"""),"LLOO")</f>
        <v>LLOO</v>
      </c>
      <c r="N429" s="19" t="str">
        <f>IFERROR(__xludf.DUMMYFUNCTION("""COMPUTED_VALUE"""),"PRIORIDAD 1 Q3 2023 OCTUBRE")</f>
        <v>PRIORIDAD 1 Q3 2023 OCTUBRE</v>
      </c>
    </row>
    <row r="430" ht="15.75" customHeight="1">
      <c r="A430" s="19" t="str">
        <f>IFERROR(__xludf.DUMMYFUNCTION("""COMPUTED_VALUE"""),"AB_9712")</f>
        <v>AB_9712</v>
      </c>
      <c r="B430" s="19" t="str">
        <f>IFERROR(__xludf.DUMMYFUNCTION("""COMPUTED_VALUE"""),"AB_9712_B")</f>
        <v>AB_9712_B</v>
      </c>
      <c r="C430" s="19" t="str">
        <f>IFERROR(__xludf.DUMMYFUNCTION("""COMPUTED_VALUE"""),"CO9712")</f>
        <v>CO9712</v>
      </c>
      <c r="D430" s="19" t="str">
        <f>IFERROR(__xludf.DUMMYFUNCTION("""COMPUTED_VALUE"""),"Talinay Sur Cerro")</f>
        <v>Talinay Sur Cerro</v>
      </c>
      <c r="E430" s="19" t="str">
        <f>IFERROR(__xludf.DUMMYFUNCTION("""COMPUTED_VALUE"""),"SITIO RFI")</f>
        <v>SITIO RFI</v>
      </c>
      <c r="F430" s="19" t="str">
        <f>IFERROR(__xludf.DUMMYFUNCTION("""COMPUTED_VALUE"""),"RFI")</f>
        <v>RFI</v>
      </c>
      <c r="G430" s="19" t="str">
        <f>IFERROR(__xludf.DUMMYFUNCTION("""COMPUTED_VALUE"""),"AS42")</f>
        <v>AS42</v>
      </c>
      <c r="H430" s="19" t="str">
        <f>IFERROR(__xludf.DUMMYFUNCTION("""COMPUTED_VALUE"""),"DEITEL")</f>
        <v>DEITEL</v>
      </c>
      <c r="I430" s="19" t="str">
        <f>IFERROR(__xludf.DUMMYFUNCTION("""COMPUTED_VALUE"""),"Entregada")</f>
        <v>Entregada</v>
      </c>
      <c r="J430" s="20">
        <f>IFERROR(__xludf.DUMMYFUNCTION("""COMPUTED_VALUE"""),44697.0)</f>
        <v>44697</v>
      </c>
      <c r="K430" s="19" t="str">
        <f>IFERROR(__xludf.DUMMYFUNCTION("""COMPUTED_VALUE"""),"Entregada")</f>
        <v>Entregada</v>
      </c>
      <c r="L430" s="20">
        <f>IFERROR(__xludf.DUMMYFUNCTION("""COMPUTED_VALUE"""),44734.0)</f>
        <v>44734</v>
      </c>
      <c r="M430" s="19" t="str">
        <f>IFERROR(__xludf.DUMMYFUNCTION("""COMPUTED_VALUE"""),"PP")</f>
        <v>PP</v>
      </c>
      <c r="N430" s="19" t="str">
        <f>IFERROR(__xludf.DUMMYFUNCTION("""COMPUTED_VALUE"""),"PRIORIDAD 1 Q3 2023 OCTUBRE")</f>
        <v>PRIORIDAD 1 Q3 2023 OCTUBRE</v>
      </c>
    </row>
    <row r="431" ht="15.75" customHeight="1">
      <c r="A431" s="19" t="str">
        <f>IFERROR(__xludf.DUMMYFUNCTION("""COMPUTED_VALUE"""),"AB_9894")</f>
        <v>AB_9894</v>
      </c>
      <c r="B431" s="19" t="str">
        <f>IFERROR(__xludf.DUMMYFUNCTION("""COMPUTED_VALUE"""),"AB_9894_B")</f>
        <v>AB_9894_B</v>
      </c>
      <c r="C431" s="19" t="str">
        <f>IFERROR(__xludf.DUMMYFUNCTION("""COMPUTED_VALUE"""),"AY9894")</f>
        <v>AY9894</v>
      </c>
      <c r="D431" s="19" t="str">
        <f>IFERROR(__xludf.DUMMYFUNCTION("""COMPUTED_VALUE"""),"LLOO Lomas Bajas")</f>
        <v>LLOO Lomas Bajas</v>
      </c>
      <c r="E431" s="19" t="str">
        <f>IFERROR(__xludf.DUMMYFUNCTION("""COMPUTED_VALUE"""),"SITIO CONSTRUIDO")</f>
        <v>SITIO CONSTRUIDO</v>
      </c>
      <c r="F431" s="19" t="str">
        <f>IFERROR(__xludf.DUMMYFUNCTION("""COMPUTED_VALUE"""),"ENFIERRADURA")</f>
        <v>ENFIERRADURA</v>
      </c>
      <c r="G431" s="19" t="str">
        <f>IFERROR(__xludf.DUMMYFUNCTION("""COMPUTED_VALUE"""),"CV60")</f>
        <v>CV60</v>
      </c>
      <c r="H431" s="19" t="str">
        <f>IFERROR(__xludf.DUMMYFUNCTION("""COMPUTED_VALUE"""),"DEPROMET")</f>
        <v>DEPROMET</v>
      </c>
      <c r="I431" s="19" t="str">
        <f>IFERROR(__xludf.DUMMYFUNCTION("""COMPUTED_VALUE"""),"Entregada")</f>
        <v>Entregada</v>
      </c>
      <c r="J431" s="20">
        <f>IFERROR(__xludf.DUMMYFUNCTION("""COMPUTED_VALUE"""),44893.0)</f>
        <v>44893</v>
      </c>
      <c r="K431" s="19" t="str">
        <f>IFERROR(__xludf.DUMMYFUNCTION("""COMPUTED_VALUE"""),"Entregada")</f>
        <v>Entregada</v>
      </c>
      <c r="L431" s="20">
        <f>IFERROR(__xludf.DUMMYFUNCTION("""COMPUTED_VALUE"""),44861.0)</f>
        <v>44861</v>
      </c>
      <c r="M431" s="19" t="str">
        <f>IFERROR(__xludf.DUMMYFUNCTION("""COMPUTED_VALUE"""),"LLOO")</f>
        <v>LLOO</v>
      </c>
      <c r="N431" s="19" t="str">
        <f>IFERROR(__xludf.DUMMYFUNCTION("""COMPUTED_VALUE"""),"PRIORIDAD 1 Q3 2023 OCTUBRE")</f>
        <v>PRIORIDAD 1 Q3 2023 OCTUBRE</v>
      </c>
    </row>
    <row r="432" ht="15.75" customHeight="1">
      <c r="A432" s="19" t="str">
        <f>IFERROR(__xludf.DUMMYFUNCTION("""COMPUTED_VALUE"""),"AB_9782")</f>
        <v>AB_9782</v>
      </c>
      <c r="B432" s="19" t="str">
        <f>IFERROR(__xludf.DUMMYFUNCTION("""COMPUTED_VALUE"""),"AB_9782_B")</f>
        <v>AB_9782_B</v>
      </c>
      <c r="C432" s="19" t="str">
        <f>IFERROR(__xludf.DUMMYFUNCTION("""COMPUTED_VALUE"""),"CO9782")</f>
        <v>CO9782</v>
      </c>
      <c r="D432" s="19" t="str">
        <f>IFERROR(__xludf.DUMMYFUNCTION("""COMPUTED_VALUE"""),"Choapa Illapel")</f>
        <v>Choapa Illapel</v>
      </c>
      <c r="E432" s="19" t="str">
        <f>IFERROR(__xludf.DUMMYFUNCTION("""COMPUTED_VALUE"""),"SITIO RFI")</f>
        <v>SITIO RFI</v>
      </c>
      <c r="F432" s="19" t="str">
        <f>IFERROR(__xludf.DUMMYFUNCTION("""COMPUTED_VALUE"""),"RFI")</f>
        <v>RFI</v>
      </c>
      <c r="G432" s="19" t="str">
        <f>IFERROR(__xludf.DUMMYFUNCTION("""COMPUTED_VALUE"""),"CV42")</f>
        <v>CV42</v>
      </c>
      <c r="H432" s="19" t="str">
        <f>IFERROR(__xludf.DUMMYFUNCTION("""COMPUTED_VALUE"""),"SyC")</f>
        <v>SyC</v>
      </c>
      <c r="I432" s="19" t="str">
        <f>IFERROR(__xludf.DUMMYFUNCTION("""COMPUTED_VALUE"""),"Entregada")</f>
        <v>Entregada</v>
      </c>
      <c r="J432" s="20">
        <f>IFERROR(__xludf.DUMMYFUNCTION("""COMPUTED_VALUE"""),44764.0)</f>
        <v>44764</v>
      </c>
      <c r="K432" s="19" t="str">
        <f>IFERROR(__xludf.DUMMYFUNCTION("""COMPUTED_VALUE"""),"Entregada")</f>
        <v>Entregada</v>
      </c>
      <c r="L432" s="20">
        <f>IFERROR(__xludf.DUMMYFUNCTION("""COMPUTED_VALUE"""),44816.0)</f>
        <v>44816</v>
      </c>
      <c r="M432" s="19" t="str">
        <f>IFERROR(__xludf.DUMMYFUNCTION("""COMPUTED_VALUE"""),"PCM")</f>
        <v>PCM</v>
      </c>
      <c r="N432" s="19" t="str">
        <f>IFERROR(__xludf.DUMMYFUNCTION("""COMPUTED_VALUE"""),"PRIORIDAD 1 Q3 2023 OCTUBRE")</f>
        <v>PRIORIDAD 1 Q3 2023 OCTUBRE</v>
      </c>
    </row>
    <row r="433" ht="15.75" customHeight="1">
      <c r="A433" s="19" t="str">
        <f>IFERROR(__xludf.DUMMYFUNCTION("""COMPUTED_VALUE"""),"AB_9901")</f>
        <v>AB_9901</v>
      </c>
      <c r="B433" s="19" t="str">
        <f>IFERROR(__xludf.DUMMYFUNCTION("""COMPUTED_VALUE"""),"AB_9901_C")</f>
        <v>AB_9901_C</v>
      </c>
      <c r="C433" s="19" t="str">
        <f>IFERROR(__xludf.DUMMYFUNCTION("""COMPUTED_VALUE"""),"AY9901")</f>
        <v>AY9901</v>
      </c>
      <c r="D433" s="19" t="str">
        <f>IFERROR(__xludf.DUMMYFUNCTION("""COMPUTED_VALUE"""),"LLOO El Turbio")</f>
        <v>LLOO El Turbio</v>
      </c>
      <c r="E433" s="19" t="str">
        <f>IFERROR(__xludf.DUMMYFUNCTION("""COMPUTED_VALUE"""),"SITIO CONSTRUIDO")</f>
        <v>SITIO CONSTRUIDO</v>
      </c>
      <c r="F433" s="19" t="str">
        <f>IFERROR(__xludf.DUMMYFUNCTION("""COMPUTED_VALUE"""),"MONTAJE")</f>
        <v>MONTAJE</v>
      </c>
      <c r="G433" s="19" t="str">
        <f>IFERROR(__xludf.DUMMYFUNCTION("""COMPUTED_VALUE"""),"CV60 (H)")</f>
        <v>CV60 (H)</v>
      </c>
      <c r="H433" s="19" t="str">
        <f>IFERROR(__xludf.DUMMYFUNCTION("""COMPUTED_VALUE"""),"AJ")</f>
        <v>AJ</v>
      </c>
      <c r="I433" s="19" t="str">
        <f>IFERROR(__xludf.DUMMYFUNCTION("""COMPUTED_VALUE"""),"Entregada")</f>
        <v>Entregada</v>
      </c>
      <c r="J433" s="20">
        <f>IFERROR(__xludf.DUMMYFUNCTION("""COMPUTED_VALUE"""),44698.0)</f>
        <v>44698</v>
      </c>
      <c r="K433" s="19" t="str">
        <f>IFERROR(__xludf.DUMMYFUNCTION("""COMPUTED_VALUE"""),"Entregada")</f>
        <v>Entregada</v>
      </c>
      <c r="L433" s="20">
        <f>IFERROR(__xludf.DUMMYFUNCTION("""COMPUTED_VALUE"""),44816.0)</f>
        <v>44816</v>
      </c>
      <c r="M433" s="19" t="str">
        <f>IFERROR(__xludf.DUMMYFUNCTION("""COMPUTED_VALUE"""),"PCM")</f>
        <v>PCM</v>
      </c>
      <c r="N433" s="19" t="str">
        <f>IFERROR(__xludf.DUMMYFUNCTION("""COMPUTED_VALUE"""),"PRIORIDAD 1 Q3 2023 OCTUBRE")</f>
        <v>PRIORIDAD 1 Q3 2023 OCTUBRE</v>
      </c>
    </row>
    <row r="434" ht="15.75" customHeight="1">
      <c r="A434" s="19" t="str">
        <f>IFERROR(__xludf.DUMMYFUNCTION("""COMPUTED_VALUE"""),"AB_9790")</f>
        <v>AB_9790</v>
      </c>
      <c r="B434" s="19" t="str">
        <f>IFERROR(__xludf.DUMMYFUNCTION("""COMPUTED_VALUE"""),"AB_9790_C")</f>
        <v>AB_9790_C</v>
      </c>
      <c r="C434" s="19" t="str">
        <f>IFERROR(__xludf.DUMMYFUNCTION("""COMPUTED_VALUE"""),"CO9790")</f>
        <v>CO9790</v>
      </c>
      <c r="D434" s="19" t="str">
        <f>IFERROR(__xludf.DUMMYFUNCTION("""COMPUTED_VALUE"""),"Tamelcura Ovalle")</f>
        <v>Tamelcura Ovalle</v>
      </c>
      <c r="E434" s="19" t="str">
        <f>IFERROR(__xludf.DUMMYFUNCTION("""COMPUTED_VALUE"""),"SITIO RFI")</f>
        <v>SITIO RFI</v>
      </c>
      <c r="F434" s="19" t="str">
        <f>IFERROR(__xludf.DUMMYFUNCTION("""COMPUTED_VALUE"""),"RFI")</f>
        <v>RFI</v>
      </c>
      <c r="G434" s="19" t="str">
        <f>IFERROR(__xludf.DUMMYFUNCTION("""COMPUTED_VALUE"""),"AS60")</f>
        <v>AS60</v>
      </c>
      <c r="H434" s="19" t="str">
        <f>IFERROR(__xludf.DUMMYFUNCTION("""COMPUTED_VALUE"""),"MER")</f>
        <v>MER</v>
      </c>
      <c r="I434" s="19" t="str">
        <f>IFERROR(__xludf.DUMMYFUNCTION("""COMPUTED_VALUE"""),"Entregada")</f>
        <v>Entregada</v>
      </c>
      <c r="J434" s="20">
        <f>IFERROR(__xludf.DUMMYFUNCTION("""COMPUTED_VALUE"""),44881.0)</f>
        <v>44881</v>
      </c>
      <c r="K434" s="19" t="str">
        <f>IFERROR(__xludf.DUMMYFUNCTION("""COMPUTED_VALUE"""),"Entregada")</f>
        <v>Entregada</v>
      </c>
      <c r="L434" s="20">
        <f>IFERROR(__xludf.DUMMYFUNCTION("""COMPUTED_VALUE"""),44890.0)</f>
        <v>44890</v>
      </c>
      <c r="M434" s="19" t="str">
        <f>IFERROR(__xludf.DUMMYFUNCTION("""COMPUTED_VALUE"""),"LLOO")</f>
        <v>LLOO</v>
      </c>
      <c r="N434" s="19" t="str">
        <f>IFERROR(__xludf.DUMMYFUNCTION("""COMPUTED_VALUE"""),"PRIORIDAD 1 Q3 2023 OCTUBRE")</f>
        <v>PRIORIDAD 1 Q3 2023 OCTUBRE</v>
      </c>
    </row>
    <row r="435" ht="15.75" customHeight="1">
      <c r="A435" s="19" t="str">
        <f>IFERROR(__xludf.DUMMYFUNCTION("""COMPUTED_VALUE"""),"AB_9792")</f>
        <v>AB_9792</v>
      </c>
      <c r="B435" s="19" t="str">
        <f>IFERROR(__xludf.DUMMYFUNCTION("""COMPUTED_VALUE"""),"AB_9792_C")</f>
        <v>AB_9792_C</v>
      </c>
      <c r="C435" s="19" t="str">
        <f>IFERROR(__xludf.DUMMYFUNCTION("""COMPUTED_VALUE"""),"CO9792")</f>
        <v>CO9792</v>
      </c>
      <c r="D435" s="19" t="str">
        <f>IFERROR(__xludf.DUMMYFUNCTION("""COMPUTED_VALUE"""),"San Pedro de Quiles")</f>
        <v>San Pedro de Quiles</v>
      </c>
      <c r="E435" s="19" t="str">
        <f>IFERROR(__xludf.DUMMYFUNCTION("""COMPUTED_VALUE"""),"SITIO RFI")</f>
        <v>SITIO RFI</v>
      </c>
      <c r="F435" s="19" t="str">
        <f>IFERROR(__xludf.DUMMYFUNCTION("""COMPUTED_VALUE"""),"RFI")</f>
        <v>RFI</v>
      </c>
      <c r="G435" s="19" t="str">
        <f>IFERROR(__xludf.DUMMYFUNCTION("""COMPUTED_VALUE"""),"CV60")</f>
        <v>CV60</v>
      </c>
      <c r="H435" s="19" t="str">
        <f>IFERROR(__xludf.DUMMYFUNCTION("""COMPUTED_VALUE"""),"DEPROMET")</f>
        <v>DEPROMET</v>
      </c>
      <c r="I435" s="19" t="str">
        <f>IFERROR(__xludf.DUMMYFUNCTION("""COMPUTED_VALUE"""),"Entregada")</f>
        <v>Entregada</v>
      </c>
      <c r="J435" s="20">
        <f>IFERROR(__xludf.DUMMYFUNCTION("""COMPUTED_VALUE"""),44893.0)</f>
        <v>44893</v>
      </c>
      <c r="K435" s="19" t="str">
        <f>IFERROR(__xludf.DUMMYFUNCTION("""COMPUTED_VALUE"""),"Entregada")</f>
        <v>Entregada</v>
      </c>
      <c r="L435" s="20">
        <f>IFERROR(__xludf.DUMMYFUNCTION("""COMPUTED_VALUE"""),44911.0)</f>
        <v>44911</v>
      </c>
      <c r="M435" s="19" t="str">
        <f>IFERROR(__xludf.DUMMYFUNCTION("""COMPUTED_VALUE"""),"LLOO")</f>
        <v>LLOO</v>
      </c>
      <c r="N435" s="19" t="str">
        <f>IFERROR(__xludf.DUMMYFUNCTION("""COMPUTED_VALUE"""),"PRIORIDAD 1 Q3 2023 OCTUBRE")</f>
        <v>PRIORIDAD 1 Q3 2023 OCTUBRE</v>
      </c>
    </row>
    <row r="436" ht="15.75" customHeight="1">
      <c r="A436" s="19" t="str">
        <f>IFERROR(__xludf.DUMMYFUNCTION("""COMPUTED_VALUE"""),"AB_8183")</f>
        <v>AB_8183</v>
      </c>
      <c r="B436" s="19" t="str">
        <f>IFERROR(__xludf.DUMMYFUNCTION("""COMPUTED_VALUE"""),"AB_8183_C")</f>
        <v>AB_8183_C</v>
      </c>
      <c r="C436" s="19" t="str">
        <f>IFERROR(__xludf.DUMMYFUNCTION("""COMPUTED_VALUE"""),"BI8183")</f>
        <v>BI8183</v>
      </c>
      <c r="D436" s="19" t="str">
        <f>IFERROR(__xludf.DUMMYFUNCTION("""COMPUTED_VALUE"""),"Quilantahue Tirúa")</f>
        <v>Quilantahue Tirúa</v>
      </c>
      <c r="E436" s="19" t="str">
        <f>IFERROR(__xludf.DUMMYFUNCTION("""COMPUTED_VALUE"""),"SITIO RFI")</f>
        <v>SITIO RFI</v>
      </c>
      <c r="F436" s="19" t="str">
        <f>IFERROR(__xludf.DUMMYFUNCTION("""COMPUTED_VALUE"""),"CIERRE")</f>
        <v>CIERRE</v>
      </c>
      <c r="G436" s="19" t="str">
        <f>IFERROR(__xludf.DUMMYFUNCTION("""COMPUTED_VALUE"""),"AS48")</f>
        <v>AS48</v>
      </c>
      <c r="H436" s="19" t="str">
        <f>IFERROR(__xludf.DUMMYFUNCTION("""COMPUTED_VALUE"""),"ADM")</f>
        <v>ADM</v>
      </c>
      <c r="I436" s="19" t="str">
        <f>IFERROR(__xludf.DUMMYFUNCTION("""COMPUTED_VALUE"""),"Entregada")</f>
        <v>Entregada</v>
      </c>
      <c r="J436" s="20">
        <f>IFERROR(__xludf.DUMMYFUNCTION("""COMPUTED_VALUE"""),44750.0)</f>
        <v>44750</v>
      </c>
      <c r="K436" s="19" t="str">
        <f>IFERROR(__xludf.DUMMYFUNCTION("""COMPUTED_VALUE"""),"Entregada")</f>
        <v>Entregada</v>
      </c>
      <c r="L436" s="20">
        <f>IFERROR(__xludf.DUMMYFUNCTION("""COMPUTED_VALUE"""),44785.0)</f>
        <v>44785</v>
      </c>
      <c r="M436" s="19" t="str">
        <f>IFERROR(__xludf.DUMMYFUNCTION("""COMPUTED_VALUE"""),"PCM")</f>
        <v>PCM</v>
      </c>
      <c r="N436" s="19" t="str">
        <f>IFERROR(__xludf.DUMMYFUNCTION("""COMPUTED_VALUE"""),"PRIORIDAD 1 Q3 2023 OCTUBRE")</f>
        <v>PRIORIDAD 1 Q3 2023 OCTUBRE</v>
      </c>
    </row>
    <row r="437" ht="15.75" customHeight="1">
      <c r="A437" s="19" t="str">
        <f>IFERROR(__xludf.DUMMYFUNCTION("""COMPUTED_VALUE"""),"AB_9794")</f>
        <v>AB_9794</v>
      </c>
      <c r="B437" s="19" t="str">
        <f>IFERROR(__xludf.DUMMYFUNCTION("""COMPUTED_VALUE"""),"AB_9794_B")</f>
        <v>AB_9794_B</v>
      </c>
      <c r="C437" s="19" t="str">
        <f>IFERROR(__xludf.DUMMYFUNCTION("""COMPUTED_VALUE"""),"CO9794")</f>
        <v>CO9794</v>
      </c>
      <c r="D437" s="19" t="str">
        <f>IFERROR(__xludf.DUMMYFUNCTION("""COMPUTED_VALUE"""),"El Manzano Andacollo")</f>
        <v>El Manzano Andacollo</v>
      </c>
      <c r="E437" s="19" t="str">
        <f>IFERROR(__xludf.DUMMYFUNCTION("""COMPUTED_VALUE"""),"SITIO RFI")</f>
        <v>SITIO RFI</v>
      </c>
      <c r="F437" s="19" t="str">
        <f>IFERROR(__xludf.DUMMYFUNCTION("""COMPUTED_VALUE"""),"RFI")</f>
        <v>RFI</v>
      </c>
      <c r="G437" s="19" t="str">
        <f>IFERROR(__xludf.DUMMYFUNCTION("""COMPUTED_VALUE"""),"CV30")</f>
        <v>CV30</v>
      </c>
      <c r="H437" s="19" t="str">
        <f>IFERROR(__xludf.DUMMYFUNCTION("""COMPUTED_VALUE"""),"SyC")</f>
        <v>SyC</v>
      </c>
      <c r="I437" s="19" t="str">
        <f>IFERROR(__xludf.DUMMYFUNCTION("""COMPUTED_VALUE"""),"Entregada")</f>
        <v>Entregada</v>
      </c>
      <c r="J437" s="20">
        <f>IFERROR(__xludf.DUMMYFUNCTION("""COMPUTED_VALUE"""),44551.0)</f>
        <v>44551</v>
      </c>
      <c r="K437" s="19" t="str">
        <f>IFERROR(__xludf.DUMMYFUNCTION("""COMPUTED_VALUE"""),"Entregada")</f>
        <v>Entregada</v>
      </c>
      <c r="L437" s="20">
        <f>IFERROR(__xludf.DUMMYFUNCTION("""COMPUTED_VALUE"""),44526.0)</f>
        <v>44526</v>
      </c>
      <c r="M437" s="19" t="str">
        <f>IFERROR(__xludf.DUMMYFUNCTION("""COMPUTED_VALUE"""),"PCM")</f>
        <v>PCM</v>
      </c>
      <c r="N437" s="19" t="str">
        <f>IFERROR(__xludf.DUMMYFUNCTION("""COMPUTED_VALUE"""),"PRIORIDAD 1 Q3 2023 OCTUBRE")</f>
        <v>PRIORIDAD 1 Q3 2023 OCTUBRE</v>
      </c>
    </row>
    <row r="438" ht="15.75" customHeight="1">
      <c r="A438" s="21" t="str">
        <f>IFERROR(__xludf.DUMMYFUNCTION("""COMPUTED_VALUE"""),"AB_9688")</f>
        <v>AB_9688</v>
      </c>
      <c r="B438" s="19" t="str">
        <f>IFERROR(__xludf.DUMMYFUNCTION("""COMPUTED_VALUE"""),"AB_9688_B")</f>
        <v>AB_9688_B</v>
      </c>
      <c r="C438" s="19" t="str">
        <f>IFERROR(__xludf.DUMMYFUNCTION("""COMPUTED_VALUE"""),"BI9688")</f>
        <v>BI9688</v>
      </c>
      <c r="D438" s="19" t="str">
        <f>IFERROR(__xludf.DUMMYFUNCTION("""COMPUTED_VALUE"""),"Levilao Tirua")</f>
        <v>Levilao Tirua</v>
      </c>
      <c r="E438" s="19" t="str">
        <f>IFERROR(__xludf.DUMMYFUNCTION("""COMPUTED_VALUE"""),"SITIO EN CONSTRUCCION")</f>
        <v>SITIO EN CONSTRUCCION</v>
      </c>
      <c r="F438" s="19" t="str">
        <f>IFERROR(__xludf.DUMMYFUNCTION("""COMPUTED_VALUE"""),"ENFIERRADURA")</f>
        <v>ENFIERRADURA</v>
      </c>
      <c r="G438" s="19" t="str">
        <f>IFERROR(__xludf.DUMMYFUNCTION("""COMPUTED_VALUE"""),"AS72")</f>
        <v>AS72</v>
      </c>
      <c r="H438" s="19" t="str">
        <f>IFERROR(__xludf.DUMMYFUNCTION("""COMPUTED_VALUE"""),"MER")</f>
        <v>MER</v>
      </c>
      <c r="I438" s="19" t="str">
        <f>IFERROR(__xludf.DUMMYFUNCTION("""COMPUTED_VALUE"""),"Terminada")</f>
        <v>Terminada</v>
      </c>
      <c r="J438" s="20">
        <f>IFERROR(__xludf.DUMMYFUNCTION("""COMPUTED_VALUE"""),44881.0)</f>
        <v>44881</v>
      </c>
      <c r="K438" s="19" t="str">
        <f>IFERROR(__xludf.DUMMYFUNCTION("""COMPUTED_VALUE"""),"Por pintar ")</f>
        <v>Por pintar </v>
      </c>
      <c r="L438" s="20">
        <f>IFERROR(__xludf.DUMMYFUNCTION("""COMPUTED_VALUE"""),44897.0)</f>
        <v>44897</v>
      </c>
      <c r="M438" s="19" t="str">
        <f>IFERROR(__xludf.DUMMYFUNCTION("""COMPUTED_VALUE"""),"PCM")</f>
        <v>PCM</v>
      </c>
      <c r="N438" s="19" t="str">
        <f>IFERROR(__xludf.DUMMYFUNCTION("""COMPUTED_VALUE"""),"PRIORIDAD 1 Q3 2023 OCTUBRE")</f>
        <v>PRIORIDAD 1 Q3 2023 OCTUBRE</v>
      </c>
    </row>
    <row r="439" ht="15.75" customHeight="1">
      <c r="A439" s="19" t="str">
        <f>IFERROR(__xludf.DUMMYFUNCTION("""COMPUTED_VALUE"""),"AB_9799")</f>
        <v>AB_9799</v>
      </c>
      <c r="B439" s="19" t="str">
        <f>IFERROR(__xludf.DUMMYFUNCTION("""COMPUTED_VALUE"""),"AB_9799_A")</f>
        <v>AB_9799_A</v>
      </c>
      <c r="C439" s="19" t="str">
        <f>IFERROR(__xludf.DUMMYFUNCTION("""COMPUTED_VALUE"""),"CO9799")</f>
        <v>CO9799</v>
      </c>
      <c r="D439" s="19" t="str">
        <f>IFERROR(__xludf.DUMMYFUNCTION("""COMPUTED_VALUE"""),"Los Corrales")</f>
        <v>Los Corrales</v>
      </c>
      <c r="E439" s="19" t="str">
        <f>IFERROR(__xludf.DUMMYFUNCTION("""COMPUTED_VALUE"""),"SITIO RFI")</f>
        <v>SITIO RFI</v>
      </c>
      <c r="F439" s="19" t="str">
        <f>IFERROR(__xludf.DUMMYFUNCTION("""COMPUTED_VALUE"""),"RFI")</f>
        <v>RFI</v>
      </c>
      <c r="G439" s="19" t="str">
        <f>IFERROR(__xludf.DUMMYFUNCTION("""COMPUTED_VALUE"""),"CV42")</f>
        <v>CV42</v>
      </c>
      <c r="H439" s="19" t="str">
        <f>IFERROR(__xludf.DUMMYFUNCTION("""COMPUTED_VALUE"""),"SYC")</f>
        <v>SYC</v>
      </c>
      <c r="I439" s="19" t="str">
        <f>IFERROR(__xludf.DUMMYFUNCTION("""COMPUTED_VALUE"""),"Entregada")</f>
        <v>Entregada</v>
      </c>
      <c r="J439" s="20">
        <f>IFERROR(__xludf.DUMMYFUNCTION("""COMPUTED_VALUE"""),44862.0)</f>
        <v>44862</v>
      </c>
      <c r="K439" s="19" t="str">
        <f>IFERROR(__xludf.DUMMYFUNCTION("""COMPUTED_VALUE"""),"Entregada")</f>
        <v>Entregada</v>
      </c>
      <c r="L439" s="20">
        <f>IFERROR(__xludf.DUMMYFUNCTION("""COMPUTED_VALUE"""),44883.0)</f>
        <v>44883</v>
      </c>
      <c r="M439" s="19" t="str">
        <f>IFERROR(__xludf.DUMMYFUNCTION("""COMPUTED_VALUE"""),"LLOO")</f>
        <v>LLOO</v>
      </c>
      <c r="N439" s="19" t="str">
        <f>IFERROR(__xludf.DUMMYFUNCTION("""COMPUTED_VALUE"""),"PRIORIDAD 1 Q3 2023 OCTUBRE")</f>
        <v>PRIORIDAD 1 Q3 2023 OCTUBRE</v>
      </c>
    </row>
    <row r="440" ht="15.75" customHeight="1">
      <c r="A440" s="19" t="str">
        <f>IFERROR(__xludf.DUMMYFUNCTION("""COMPUTED_VALUE"""),"AB_9707")</f>
        <v>AB_9707</v>
      </c>
      <c r="B440" s="19" t="str">
        <f>IFERROR(__xludf.DUMMYFUNCTION("""COMPUTED_VALUE"""),"AB_9707_B")</f>
        <v>AB_9707_B</v>
      </c>
      <c r="C440" s="19" t="str">
        <f>IFERROR(__xludf.DUMMYFUNCTION("""COMPUTED_VALUE"""),"CO9707")</f>
        <v>CO9707</v>
      </c>
      <c r="D440" s="19" t="str">
        <f>IFERROR(__xludf.DUMMYFUNCTION("""COMPUTED_VALUE"""),"Minera el Romeral")</f>
        <v>Minera el Romeral</v>
      </c>
      <c r="E440" s="19" t="str">
        <f>IFERROR(__xludf.DUMMYFUNCTION("""COMPUTED_VALUE"""),"SITIO CONSTRUIDO")</f>
        <v>SITIO CONSTRUIDO</v>
      </c>
      <c r="F440" s="19" t="str">
        <f>IFERROR(__xludf.DUMMYFUNCTION("""COMPUTED_VALUE"""),"HORMIGONADO")</f>
        <v>HORMIGONADO</v>
      </c>
      <c r="G440" s="19" t="str">
        <f>IFERROR(__xludf.DUMMYFUNCTION("""COMPUTED_VALUE"""),"AS42")</f>
        <v>AS42</v>
      </c>
      <c r="H440" s="19" t="str">
        <f>IFERROR(__xludf.DUMMYFUNCTION("""COMPUTED_VALUE"""),"MER")</f>
        <v>MER</v>
      </c>
      <c r="I440" s="19" t="str">
        <f>IFERROR(__xludf.DUMMYFUNCTION("""COMPUTED_VALUE"""),"Terminada")</f>
        <v>Terminada</v>
      </c>
      <c r="J440" s="20">
        <f>IFERROR(__xludf.DUMMYFUNCTION("""COMPUTED_VALUE"""),44673.0)</f>
        <v>44673</v>
      </c>
      <c r="K440" s="19" t="str">
        <f>IFERROR(__xludf.DUMMYFUNCTION("""COMPUTED_VALUE"""),"Terminada")</f>
        <v>Terminada</v>
      </c>
      <c r="L440" s="20">
        <f>IFERROR(__xludf.DUMMYFUNCTION("""COMPUTED_VALUE"""),44617.0)</f>
        <v>44617</v>
      </c>
      <c r="M440" s="19" t="str">
        <f>IFERROR(__xludf.DUMMYFUNCTION("""COMPUTED_VALUE"""),"LLOO")</f>
        <v>LLOO</v>
      </c>
      <c r="N440" s="19" t="str">
        <f>IFERROR(__xludf.DUMMYFUNCTION("""COMPUTED_VALUE"""),"PRIORIDAD 1 Q3 2023 OCTUBRE")</f>
        <v>PRIORIDAD 1 Q3 2023 OCTUBRE</v>
      </c>
    </row>
    <row r="441" ht="15.75" customHeight="1">
      <c r="A441" s="19" t="str">
        <f>IFERROR(__xludf.DUMMYFUNCTION("""COMPUTED_VALUE"""),"AB_9717")</f>
        <v>AB_9717</v>
      </c>
      <c r="B441" s="19" t="str">
        <f>IFERROR(__xludf.DUMMYFUNCTION("""COMPUTED_VALUE"""),"AB_9717_B")</f>
        <v>AB_9717_B</v>
      </c>
      <c r="C441" s="19" t="str">
        <f>IFERROR(__xludf.DUMMYFUNCTION("""COMPUTED_VALUE"""),"CO9717")</f>
        <v>CO9717</v>
      </c>
      <c r="D441" s="19" t="str">
        <f>IFERROR(__xludf.DUMMYFUNCTION("""COMPUTED_VALUE"""),"Cerro BLanco Los Vilos ")</f>
        <v>Cerro BLanco Los Vilos </v>
      </c>
      <c r="E441" s="19" t="str">
        <f>IFERROR(__xludf.DUMMYFUNCTION("""COMPUTED_VALUE"""),"SITIO RFI")</f>
        <v>SITIO RFI</v>
      </c>
      <c r="F441" s="19" t="str">
        <f>IFERROR(__xludf.DUMMYFUNCTION("""COMPUTED_VALUE"""),"CIERRE")</f>
        <v>CIERRE</v>
      </c>
      <c r="G441" s="19" t="str">
        <f>IFERROR(__xludf.DUMMYFUNCTION("""COMPUTED_VALUE"""),"CV36")</f>
        <v>CV36</v>
      </c>
      <c r="H441" s="19" t="str">
        <f>IFERROR(__xludf.DUMMYFUNCTION("""COMPUTED_VALUE"""),"DEITEL")</f>
        <v>DEITEL</v>
      </c>
      <c r="I441" s="19" t="str">
        <f>IFERROR(__xludf.DUMMYFUNCTION("""COMPUTED_VALUE"""),"Entregada")</f>
        <v>Entregada</v>
      </c>
      <c r="J441" s="20">
        <f>IFERROR(__xludf.DUMMYFUNCTION("""COMPUTED_VALUE"""),44882.0)</f>
        <v>44882</v>
      </c>
      <c r="K441" s="19" t="str">
        <f>IFERROR(__xludf.DUMMYFUNCTION("""COMPUTED_VALUE"""),"Entregada")</f>
        <v>Entregada</v>
      </c>
      <c r="L441" s="20">
        <f>IFERROR(__xludf.DUMMYFUNCTION("""COMPUTED_VALUE"""),44969.0)</f>
        <v>44969</v>
      </c>
      <c r="M441" s="19" t="str">
        <f>IFERROR(__xludf.DUMMYFUNCTION("""COMPUTED_VALUE"""),"LLOO")</f>
        <v>LLOO</v>
      </c>
      <c r="N441" s="19" t="str">
        <f>IFERROR(__xludf.DUMMYFUNCTION("""COMPUTED_VALUE"""),"PRIORIDAD 1 Q3 2023 OCTUBRE")</f>
        <v>PRIORIDAD 1 Q3 2023 OCTUBRE</v>
      </c>
    </row>
    <row r="442" ht="15.75" customHeight="1">
      <c r="A442" s="19" t="str">
        <f>IFERROR(__xludf.DUMMYFUNCTION("""COMPUTED_VALUE"""),"AB_9787")</f>
        <v>AB_9787</v>
      </c>
      <c r="B442" s="19" t="str">
        <f>IFERROR(__xludf.DUMMYFUNCTION("""COMPUTED_VALUE"""),"AB_9787_B")</f>
        <v>AB_9787_B</v>
      </c>
      <c r="C442" s="19" t="str">
        <f>IFERROR(__xludf.DUMMYFUNCTION("""COMPUTED_VALUE"""),"CO9787")</f>
        <v>CO9787</v>
      </c>
      <c r="D442" s="19" t="str">
        <f>IFERROR(__xludf.DUMMYFUNCTION("""COMPUTED_VALUE"""),"La Cachina")</f>
        <v>La Cachina</v>
      </c>
      <c r="E442" s="19" t="str">
        <f>IFERROR(__xludf.DUMMYFUNCTION("""COMPUTED_VALUE"""),"SITIO CONSTRUIDO")</f>
        <v>SITIO CONSTRUIDO</v>
      </c>
      <c r="F442" s="19" t="str">
        <f>IFERROR(__xludf.DUMMYFUNCTION("""COMPUTED_VALUE"""),"VISITA")</f>
        <v>VISITA</v>
      </c>
      <c r="G442" s="19" t="str">
        <f>IFERROR(__xludf.DUMMYFUNCTION("""COMPUTED_VALUE"""),"CV36")</f>
        <v>CV36</v>
      </c>
      <c r="H442" s="19" t="str">
        <f>IFERROR(__xludf.DUMMYFUNCTION("""COMPUTED_VALUE"""),"DEITEL")</f>
        <v>DEITEL</v>
      </c>
      <c r="I442" s="19" t="str">
        <f>IFERROR(__xludf.DUMMYFUNCTION("""COMPUTED_VALUE"""),"Terminada")</f>
        <v>Terminada</v>
      </c>
      <c r="J442" s="20">
        <f>IFERROR(__xludf.DUMMYFUNCTION("""COMPUTED_VALUE"""),44882.0)</f>
        <v>44882</v>
      </c>
      <c r="K442" s="19" t="str">
        <f>IFERROR(__xludf.DUMMYFUNCTION("""COMPUTED_VALUE"""),"Terminada")</f>
        <v>Terminada</v>
      </c>
      <c r="L442" s="20">
        <f>IFERROR(__xludf.DUMMYFUNCTION("""COMPUTED_VALUE"""),44969.0)</f>
        <v>44969</v>
      </c>
      <c r="M442" s="19" t="str">
        <f>IFERROR(__xludf.DUMMYFUNCTION("""COMPUTED_VALUE"""),"LLOO")</f>
        <v>LLOO</v>
      </c>
      <c r="N442" s="19" t="str">
        <f>IFERROR(__xludf.DUMMYFUNCTION("""COMPUTED_VALUE"""),"PRIORIDAD 1 Q3 2023 OCTUBRE")</f>
        <v>PRIORIDAD 1 Q3 2023 OCTUBRE</v>
      </c>
    </row>
    <row r="443" ht="15.75" customHeight="1">
      <c r="A443" s="19" t="str">
        <f>IFERROR(__xludf.DUMMYFUNCTION("""COMPUTED_VALUE"""),"AB_9819")</f>
        <v>AB_9819</v>
      </c>
      <c r="B443" s="19" t="str">
        <f>IFERROR(__xludf.DUMMYFUNCTION("""COMPUTED_VALUE"""),"AB_9819_C")</f>
        <v>AB_9819_C</v>
      </c>
      <c r="C443" s="19" t="str">
        <f>IFERROR(__xludf.DUMMYFUNCTION("""COMPUTED_VALUE"""),"CO9819")</f>
        <v>CO9819</v>
      </c>
      <c r="D443" s="19" t="str">
        <f>IFERROR(__xludf.DUMMYFUNCTION("""COMPUTED_VALUE"""),"Ruta D-895 3")</f>
        <v>Ruta D-895 3</v>
      </c>
      <c r="E443" s="19" t="str">
        <f>IFERROR(__xludf.DUMMYFUNCTION("""COMPUTED_VALUE"""),"EN VALIDACION COMPRAS")</f>
        <v>EN VALIDACION COMPRAS</v>
      </c>
      <c r="F443" s="19"/>
      <c r="G443" s="19" t="str">
        <f>IFERROR(__xludf.DUMMYFUNCTION("""COMPUTED_VALUE"""),"CV42")</f>
        <v>CV42</v>
      </c>
      <c r="H443" s="19" t="str">
        <f>IFERROR(__xludf.DUMMYFUNCTION("""COMPUTED_VALUE"""),"AJ")</f>
        <v>AJ</v>
      </c>
      <c r="I443" s="19" t="str">
        <f>IFERROR(__xludf.DUMMYFUNCTION("""COMPUTED_VALUE"""),"Terminada")</f>
        <v>Terminada</v>
      </c>
      <c r="J443" s="20">
        <f>IFERROR(__xludf.DUMMYFUNCTION("""COMPUTED_VALUE"""),44819.0)</f>
        <v>44819</v>
      </c>
      <c r="K443" s="19" t="str">
        <f>IFERROR(__xludf.DUMMYFUNCTION("""COMPUTED_VALUE"""),"Por pintar ")</f>
        <v>Por pintar </v>
      </c>
      <c r="L443" s="20">
        <f>IFERROR(__xludf.DUMMYFUNCTION("""COMPUTED_VALUE"""),44881.0)</f>
        <v>44881</v>
      </c>
      <c r="M443" s="19" t="str">
        <f>IFERROR(__xludf.DUMMYFUNCTION("""COMPUTED_VALUE"""),"PP")</f>
        <v>PP</v>
      </c>
      <c r="N443" s="19" t="str">
        <f>IFERROR(__xludf.DUMMYFUNCTION("""COMPUTED_VALUE"""),"PRIORIDAD 1 Q3 2023 OCTUBRE")</f>
        <v>PRIORIDAD 1 Q3 2023 OCTUBRE</v>
      </c>
    </row>
    <row r="444" ht="15.75" customHeight="1">
      <c r="A444" s="19" t="str">
        <f>IFERROR(__xludf.DUMMYFUNCTION("""COMPUTED_VALUE"""),"AB_9826")</f>
        <v>AB_9826</v>
      </c>
      <c r="B444" s="19" t="str">
        <f>IFERROR(__xludf.DUMMYFUNCTION("""COMPUTED_VALUE"""),"AB_9826_A")</f>
        <v>AB_9826_A</v>
      </c>
      <c r="C444" s="19" t="str">
        <f>IFERROR(__xludf.DUMMYFUNCTION("""COMPUTED_VALUE"""),"CO9826")</f>
        <v>CO9826</v>
      </c>
      <c r="D444" s="19" t="str">
        <f>IFERROR(__xludf.DUMMYFUNCTION("""COMPUTED_VALUE"""),"La Estrella La Serena")</f>
        <v>La Estrella La Serena</v>
      </c>
      <c r="E444" s="19" t="str">
        <f>IFERROR(__xludf.DUMMYFUNCTION("""COMPUTED_VALUE"""),"SITIO RFI")</f>
        <v>SITIO RFI</v>
      </c>
      <c r="F444" s="19" t="str">
        <f>IFERROR(__xludf.DUMMYFUNCTION("""COMPUTED_VALUE"""),"RFI")</f>
        <v>RFI</v>
      </c>
      <c r="G444" s="19" t="str">
        <f>IFERROR(__xludf.DUMMYFUNCTION("""COMPUTED_VALUE"""),"AS48")</f>
        <v>AS48</v>
      </c>
      <c r="H444" s="19" t="str">
        <f>IFERROR(__xludf.DUMMYFUNCTION("""COMPUTED_VALUE"""),"ADM")</f>
        <v>ADM</v>
      </c>
      <c r="I444" s="19" t="str">
        <f>IFERROR(__xludf.DUMMYFUNCTION("""COMPUTED_VALUE"""),"Entregada")</f>
        <v>Entregada</v>
      </c>
      <c r="J444" s="20">
        <f>IFERROR(__xludf.DUMMYFUNCTION("""COMPUTED_VALUE"""),44750.0)</f>
        <v>44750</v>
      </c>
      <c r="K444" s="19" t="str">
        <f>IFERROR(__xludf.DUMMYFUNCTION("""COMPUTED_VALUE"""),"Entregada")</f>
        <v>Entregada</v>
      </c>
      <c r="L444" s="20">
        <f>IFERROR(__xludf.DUMMYFUNCTION("""COMPUTED_VALUE"""),44785.0)</f>
        <v>44785</v>
      </c>
      <c r="M444" s="19" t="str">
        <f>IFERROR(__xludf.DUMMYFUNCTION("""COMPUTED_VALUE"""),"LLOO")</f>
        <v>LLOO</v>
      </c>
      <c r="N444" s="19" t="str">
        <f>IFERROR(__xludf.DUMMYFUNCTION("""COMPUTED_VALUE"""),"PRIORIDAD 1 Q3 2023 OCTUBRE")</f>
        <v>PRIORIDAD 1 Q3 2023 OCTUBRE</v>
      </c>
    </row>
    <row r="445" ht="15.75" customHeight="1">
      <c r="A445" s="19" t="str">
        <f>IFERROR(__xludf.DUMMYFUNCTION("""COMPUTED_VALUE"""),"AB_9793")</f>
        <v>AB_9793</v>
      </c>
      <c r="B445" s="19" t="str">
        <f>IFERROR(__xludf.DUMMYFUNCTION("""COMPUTED_VALUE"""),"AB_9793_A")</f>
        <v>AB_9793_A</v>
      </c>
      <c r="C445" s="19" t="str">
        <f>IFERROR(__xludf.DUMMYFUNCTION("""COMPUTED_VALUE"""),"CO9793")</f>
        <v>CO9793</v>
      </c>
      <c r="D445" s="19" t="str">
        <f>IFERROR(__xludf.DUMMYFUNCTION("""COMPUTED_VALUE"""),"El Romeral Rio Hurtado")</f>
        <v>El Romeral Rio Hurtado</v>
      </c>
      <c r="E445" s="19" t="str">
        <f>IFERROR(__xludf.DUMMYFUNCTION("""COMPUTED_VALUE"""),"SITIO RFI")</f>
        <v>SITIO RFI</v>
      </c>
      <c r="F445" s="19" t="str">
        <f>IFERROR(__xludf.DUMMYFUNCTION("""COMPUTED_VALUE"""),"CIERRE")</f>
        <v>CIERRE</v>
      </c>
      <c r="G445" s="19" t="str">
        <f>IFERROR(__xludf.DUMMYFUNCTION("""COMPUTED_VALUE"""),"CV42")</f>
        <v>CV42</v>
      </c>
      <c r="H445" s="19" t="str">
        <f>IFERROR(__xludf.DUMMYFUNCTION("""COMPUTED_VALUE"""),"SYC")</f>
        <v>SYC</v>
      </c>
      <c r="I445" s="19" t="str">
        <f>IFERROR(__xludf.DUMMYFUNCTION("""COMPUTED_VALUE"""),"Entregada")</f>
        <v>Entregada</v>
      </c>
      <c r="J445" s="20">
        <f>IFERROR(__xludf.DUMMYFUNCTION("""COMPUTED_VALUE"""),44862.0)</f>
        <v>44862</v>
      </c>
      <c r="K445" s="19" t="str">
        <f>IFERROR(__xludf.DUMMYFUNCTION("""COMPUTED_VALUE"""),"Entregada")</f>
        <v>Entregada</v>
      </c>
      <c r="L445" s="20">
        <f>IFERROR(__xludf.DUMMYFUNCTION("""COMPUTED_VALUE"""),44883.0)</f>
        <v>44883</v>
      </c>
      <c r="M445" s="19" t="str">
        <f>IFERROR(__xludf.DUMMYFUNCTION("""COMPUTED_VALUE"""),"LLOO")</f>
        <v>LLOO</v>
      </c>
      <c r="N445" s="19" t="str">
        <f>IFERROR(__xludf.DUMMYFUNCTION("""COMPUTED_VALUE"""),"PRIORIDAD 1 Q3 2023 OCTUBRE")</f>
        <v>PRIORIDAD 1 Q3 2023 OCTUBRE</v>
      </c>
    </row>
    <row r="446" ht="15.75" customHeight="1">
      <c r="A446" s="19" t="str">
        <f>IFERROR(__xludf.DUMMYFUNCTION("""COMPUTED_VALUE"""),"AB_9835")</f>
        <v>AB_9835</v>
      </c>
      <c r="B446" s="19" t="str">
        <f>IFERROR(__xludf.DUMMYFUNCTION("""COMPUTED_VALUE"""),"AB_9835_B")</f>
        <v>AB_9835_B</v>
      </c>
      <c r="C446" s="19" t="str">
        <f>IFERROR(__xludf.DUMMYFUNCTION("""COMPUTED_VALUE"""),"CO9835")</f>
        <v>CO9835</v>
      </c>
      <c r="D446" s="19" t="str">
        <f>IFERROR(__xludf.DUMMYFUNCTION("""COMPUTED_VALUE"""),"Planta Peladeros Salamanca")</f>
        <v>Planta Peladeros Salamanca</v>
      </c>
      <c r="E446" s="19" t="str">
        <f>IFERROR(__xludf.DUMMYFUNCTION("""COMPUTED_VALUE"""),"SITIO RFI")</f>
        <v>SITIO RFI</v>
      </c>
      <c r="F446" s="19" t="str">
        <f>IFERROR(__xludf.DUMMYFUNCTION("""COMPUTED_VALUE"""),"RFI")</f>
        <v>RFI</v>
      </c>
      <c r="G446" s="19" t="str">
        <f>IFERROR(__xludf.DUMMYFUNCTION("""COMPUTED_VALUE"""),"CV24")</f>
        <v>CV24</v>
      </c>
      <c r="H446" s="19" t="str">
        <f>IFERROR(__xludf.DUMMYFUNCTION("""COMPUTED_VALUE"""),"ADM")</f>
        <v>ADM</v>
      </c>
      <c r="I446" s="19" t="str">
        <f>IFERROR(__xludf.DUMMYFUNCTION("""COMPUTED_VALUE"""),"Entregada")</f>
        <v>Entregada</v>
      </c>
      <c r="J446" s="20">
        <f>IFERROR(__xludf.DUMMYFUNCTION("""COMPUTED_VALUE"""),44743.0)</f>
        <v>44743</v>
      </c>
      <c r="K446" s="19" t="str">
        <f>IFERROR(__xludf.DUMMYFUNCTION("""COMPUTED_VALUE"""),"Entregada")</f>
        <v>Entregada</v>
      </c>
      <c r="L446" s="20">
        <f>IFERROR(__xludf.DUMMYFUNCTION("""COMPUTED_VALUE"""),44743.0)</f>
        <v>44743</v>
      </c>
      <c r="M446" s="19" t="str">
        <f>IFERROR(__xludf.DUMMYFUNCTION("""COMPUTED_VALUE"""),"LLOO")</f>
        <v>LLOO</v>
      </c>
      <c r="N446" s="19" t="str">
        <f>IFERROR(__xludf.DUMMYFUNCTION("""COMPUTED_VALUE"""),"PRIORIDAD 1 Q3 2023 OCTUBRE")</f>
        <v>PRIORIDAD 1 Q3 2023 OCTUBRE</v>
      </c>
    </row>
    <row r="447" ht="15.75" customHeight="1">
      <c r="A447" s="19" t="str">
        <f>IFERROR(__xludf.DUMMYFUNCTION("""COMPUTED_VALUE"""),"AB_10077")</f>
        <v>AB_10077</v>
      </c>
      <c r="B447" s="19" t="str">
        <f>IFERROR(__xludf.DUMMYFUNCTION("""COMPUTED_VALUE"""),"AB_10077_A")</f>
        <v>AB_10077_A</v>
      </c>
      <c r="C447" s="19" t="str">
        <f>IFERROR(__xludf.DUMMYFUNCTION("""COMPUTED_VALUE"""),"LL10077")</f>
        <v>LL10077</v>
      </c>
      <c r="D447" s="19" t="str">
        <f>IFERROR(__xludf.DUMMYFUNCTION("""COMPUTED_VALUE"""),"Ruta Cochamo-El Valle")</f>
        <v>Ruta Cochamo-El Valle</v>
      </c>
      <c r="E447" s="19" t="str">
        <f>IFERROR(__xludf.DUMMYFUNCTION("""COMPUTED_VALUE"""),"SITIO RFI")</f>
        <v>SITIO RFI</v>
      </c>
      <c r="F447" s="19" t="str">
        <f>IFERROR(__xludf.DUMMYFUNCTION("""COMPUTED_VALUE"""),"RFI")</f>
        <v>RFI</v>
      </c>
      <c r="G447" s="19" t="str">
        <f>IFERROR(__xludf.DUMMYFUNCTION("""COMPUTED_VALUE"""),"MP30")</f>
        <v>MP30</v>
      </c>
      <c r="H447" s="19" t="str">
        <f>IFERROR(__xludf.DUMMYFUNCTION("""COMPUTED_VALUE"""),"MER")</f>
        <v>MER</v>
      </c>
      <c r="I447" s="19" t="str">
        <f>IFERROR(__xludf.DUMMYFUNCTION("""COMPUTED_VALUE"""),"Entregada")</f>
        <v>Entregada</v>
      </c>
      <c r="J447" s="20">
        <f>IFERROR(__xludf.DUMMYFUNCTION("""COMPUTED_VALUE"""),44673.0)</f>
        <v>44673</v>
      </c>
      <c r="K447" s="19" t="str">
        <f>IFERROR(__xludf.DUMMYFUNCTION("""COMPUTED_VALUE"""),"Entregada")</f>
        <v>Entregada</v>
      </c>
      <c r="L447" s="20">
        <f>IFERROR(__xludf.DUMMYFUNCTION("""COMPUTED_VALUE"""),44694.0)</f>
        <v>44694</v>
      </c>
      <c r="M447" s="19" t="str">
        <f>IFERROR(__xludf.DUMMYFUNCTION("""COMPUTED_VALUE"""),"PP")</f>
        <v>PP</v>
      </c>
      <c r="N447" s="19" t="str">
        <f>IFERROR(__xludf.DUMMYFUNCTION("""COMPUTED_VALUE"""),"PRIORIDAD 1 Q3 2023 OCTUBRE")</f>
        <v>PRIORIDAD 1 Q3 2023 OCTUBRE</v>
      </c>
    </row>
    <row r="448" ht="15.75" customHeight="1">
      <c r="A448" s="19" t="str">
        <f>IFERROR(__xludf.DUMMYFUNCTION("""COMPUTED_VALUE"""),"AB_10111")</f>
        <v>AB_10111</v>
      </c>
      <c r="B448" s="19" t="str">
        <f>IFERROR(__xludf.DUMMYFUNCTION("""COMPUTED_VALUE"""),"AB_10111_B")</f>
        <v>AB_10111_B</v>
      </c>
      <c r="C448" s="19" t="str">
        <f>IFERROR(__xludf.DUMMYFUNCTION("""COMPUTED_VALUE"""),"LL10111")</f>
        <v>LL10111</v>
      </c>
      <c r="D448" s="19" t="str">
        <f>IFERROR(__xludf.DUMMYFUNCTION("""COMPUTED_VALUE"""),"Chaiten - El Amarillo")</f>
        <v>Chaiten - El Amarillo</v>
      </c>
      <c r="E448" s="19" t="str">
        <f>IFERROR(__xludf.DUMMYFUNCTION("""COMPUTED_VALUE"""),"SITIO RFI")</f>
        <v>SITIO RFI</v>
      </c>
      <c r="F448" s="19" t="str">
        <f>IFERROR(__xludf.DUMMYFUNCTION("""COMPUTED_VALUE"""),"RFI")</f>
        <v>RFI</v>
      </c>
      <c r="G448" s="19" t="str">
        <f>IFERROR(__xludf.DUMMYFUNCTION("""COMPUTED_VALUE"""),"CV60")</f>
        <v>CV60</v>
      </c>
      <c r="H448" s="19" t="str">
        <f>IFERROR(__xludf.DUMMYFUNCTION("""COMPUTED_VALUE"""),"DEITEL")</f>
        <v>DEITEL</v>
      </c>
      <c r="I448" s="19" t="str">
        <f>IFERROR(__xludf.DUMMYFUNCTION("""COMPUTED_VALUE"""),"Entregada")</f>
        <v>Entregada</v>
      </c>
      <c r="J448" s="20">
        <f>IFERROR(__xludf.DUMMYFUNCTION("""COMPUTED_VALUE"""),44746.0)</f>
        <v>44746</v>
      </c>
      <c r="K448" s="19" t="str">
        <f>IFERROR(__xludf.DUMMYFUNCTION("""COMPUTED_VALUE"""),"Entregada")</f>
        <v>Entregada</v>
      </c>
      <c r="L448" s="20">
        <f>IFERROR(__xludf.DUMMYFUNCTION("""COMPUTED_VALUE"""),44782.0)</f>
        <v>44782</v>
      </c>
      <c r="M448" s="19" t="str">
        <f>IFERROR(__xludf.DUMMYFUNCTION("""COMPUTED_VALUE"""),"PCM")</f>
        <v>PCM</v>
      </c>
      <c r="N448" s="19" t="str">
        <f>IFERROR(__xludf.DUMMYFUNCTION("""COMPUTED_VALUE"""),"PRIORIDAD 1 Q3 2023 OCTUBRE")</f>
        <v>PRIORIDAD 1 Q3 2023 OCTUBRE</v>
      </c>
    </row>
    <row r="449" ht="15.75" customHeight="1">
      <c r="A449" s="19" t="str">
        <f>IFERROR(__xludf.DUMMYFUNCTION("""COMPUTED_VALUE"""),"AB_10135")</f>
        <v>AB_10135</v>
      </c>
      <c r="B449" s="19" t="str">
        <f>IFERROR(__xludf.DUMMYFUNCTION("""COMPUTED_VALUE"""),"AB_10135_D")</f>
        <v>AB_10135_D</v>
      </c>
      <c r="C449" s="19" t="str">
        <f>IFERROR(__xludf.DUMMYFUNCTION("""COMPUTED_VALUE"""),"LL10135")</f>
        <v>LL10135</v>
      </c>
      <c r="D449" s="19" t="str">
        <f>IFERROR(__xludf.DUMMYFUNCTION("""COMPUTED_VALUE"""),"CIC Cuenca del Rio Puelo")</f>
        <v>CIC Cuenca del Rio Puelo</v>
      </c>
      <c r="E449" s="19" t="str">
        <f>IFERROR(__xludf.DUMMYFUNCTION("""COMPUTED_VALUE"""),"SITIO RFI")</f>
        <v>SITIO RFI</v>
      </c>
      <c r="F449" s="19" t="str">
        <f>IFERROR(__xludf.DUMMYFUNCTION("""COMPUTED_VALUE"""),"RFI")</f>
        <v>RFI</v>
      </c>
      <c r="G449" s="19" t="str">
        <f>IFERROR(__xludf.DUMMYFUNCTION("""COMPUTED_VALUE"""),"MP36")</f>
        <v>MP36</v>
      </c>
      <c r="H449" s="19" t="str">
        <f>IFERROR(__xludf.DUMMYFUNCTION("""COMPUTED_VALUE"""),"MER")</f>
        <v>MER</v>
      </c>
      <c r="I449" s="19" t="str">
        <f>IFERROR(__xludf.DUMMYFUNCTION("""COMPUTED_VALUE"""),"Entregada")</f>
        <v>Entregada</v>
      </c>
      <c r="J449" s="20">
        <f>IFERROR(__xludf.DUMMYFUNCTION("""COMPUTED_VALUE"""),44697.0)</f>
        <v>44697</v>
      </c>
      <c r="K449" s="19" t="str">
        <f>IFERROR(__xludf.DUMMYFUNCTION("""COMPUTED_VALUE"""),"Entregada")</f>
        <v>Entregada</v>
      </c>
      <c r="L449" s="20">
        <f>IFERROR(__xludf.DUMMYFUNCTION("""COMPUTED_VALUE"""),44736.0)</f>
        <v>44736</v>
      </c>
      <c r="M449" s="19" t="str">
        <f>IFERROR(__xludf.DUMMYFUNCTION("""COMPUTED_VALUE"""),"PP")</f>
        <v>PP</v>
      </c>
      <c r="N449" s="19" t="str">
        <f>IFERROR(__xludf.DUMMYFUNCTION("""COMPUTED_VALUE"""),"PRIORIDAD 1 Q3 2023 OCTUBRE")</f>
        <v>PRIORIDAD 1 Q3 2023 OCTUBRE</v>
      </c>
    </row>
    <row r="450" ht="15.75" customHeight="1">
      <c r="A450" s="19" t="str">
        <f>IFERROR(__xludf.DUMMYFUNCTION("""COMPUTED_VALUE"""),"AB_10140")</f>
        <v>AB_10140</v>
      </c>
      <c r="B450" s="19" t="str">
        <f>IFERROR(__xludf.DUMMYFUNCTION("""COMPUTED_VALUE"""),"AB_10140_B")</f>
        <v>AB_10140_B</v>
      </c>
      <c r="C450" s="19" t="str">
        <f>IFERROR(__xludf.DUMMYFUNCTION("""COMPUTED_VALUE"""),"LL10140")</f>
        <v>LL10140</v>
      </c>
      <c r="D450" s="19" t="str">
        <f>IFERROR(__xludf.DUMMYFUNCTION("""COMPUTED_VALUE"""),"Desembocadura Rio Petrohue")</f>
        <v>Desembocadura Rio Petrohue</v>
      </c>
      <c r="E450" s="19" t="str">
        <f>IFERROR(__xludf.DUMMYFUNCTION("""COMPUTED_VALUE"""),"SITIO RFI")</f>
        <v>SITIO RFI</v>
      </c>
      <c r="F450" s="19" t="str">
        <f>IFERROR(__xludf.DUMMYFUNCTION("""COMPUTED_VALUE"""),"RFI")</f>
        <v>RFI</v>
      </c>
      <c r="G450" s="19" t="str">
        <f>IFERROR(__xludf.DUMMYFUNCTION("""COMPUTED_VALUE"""),"CV60")</f>
        <v>CV60</v>
      </c>
      <c r="H450" s="19" t="str">
        <f>IFERROR(__xludf.DUMMYFUNCTION("""COMPUTED_VALUE"""),"DEPROMET")</f>
        <v>DEPROMET</v>
      </c>
      <c r="I450" s="19" t="str">
        <f>IFERROR(__xludf.DUMMYFUNCTION("""COMPUTED_VALUE"""),"Entregada")</f>
        <v>Entregada</v>
      </c>
      <c r="J450" s="20">
        <f>IFERROR(__xludf.DUMMYFUNCTION("""COMPUTED_VALUE"""),45001.0)</f>
        <v>45001</v>
      </c>
      <c r="K450" s="19" t="str">
        <f>IFERROR(__xludf.DUMMYFUNCTION("""COMPUTED_VALUE"""),"Entregada")</f>
        <v>Entregada</v>
      </c>
      <c r="L450" s="20">
        <f>IFERROR(__xludf.DUMMYFUNCTION("""COMPUTED_VALUE"""),45001.0)</f>
        <v>45001</v>
      </c>
      <c r="M450" s="19" t="str">
        <f>IFERROR(__xludf.DUMMYFUNCTION("""COMPUTED_VALUE"""),"PP")</f>
        <v>PP</v>
      </c>
      <c r="N450" s="19" t="str">
        <f>IFERROR(__xludf.DUMMYFUNCTION("""COMPUTED_VALUE"""),"PRIORIDAD 1 Q3 2023 OCTUBRE")</f>
        <v>PRIORIDAD 1 Q3 2023 OCTUBRE</v>
      </c>
    </row>
    <row r="451" ht="15.75" customHeight="1">
      <c r="A451" s="19" t="str">
        <f>IFERROR(__xludf.DUMMYFUNCTION("""COMPUTED_VALUE"""),"AB_10151")</f>
        <v>AB_10151</v>
      </c>
      <c r="B451" s="19" t="str">
        <f>IFERROR(__xludf.DUMMYFUNCTION("""COMPUTED_VALUE"""),"AB_10151_D")</f>
        <v>AB_10151_D</v>
      </c>
      <c r="C451" s="19" t="str">
        <f>IFERROR(__xludf.DUMMYFUNCTION("""COMPUTED_VALUE"""),"LL10151")</f>
        <v>LL10151</v>
      </c>
      <c r="D451" s="19" t="str">
        <f>IFERROR(__xludf.DUMMYFUNCTION("""COMPUTED_VALUE"""),"El Tepual 2")</f>
        <v>El Tepual 2</v>
      </c>
      <c r="E451" s="19" t="str">
        <f>IFERROR(__xludf.DUMMYFUNCTION("""COMPUTED_VALUE"""),"SITIO RFI")</f>
        <v>SITIO RFI</v>
      </c>
      <c r="F451" s="19" t="str">
        <f>IFERROR(__xludf.DUMMYFUNCTION("""COMPUTED_VALUE"""),"RFI")</f>
        <v>RFI</v>
      </c>
      <c r="G451" s="19" t="str">
        <f>IFERROR(__xludf.DUMMYFUNCTION("""COMPUTED_VALUE"""),"MP18")</f>
        <v>MP18</v>
      </c>
      <c r="H451" s="19" t="str">
        <f>IFERROR(__xludf.DUMMYFUNCTION("""COMPUTED_VALUE"""),"MER")</f>
        <v>MER</v>
      </c>
      <c r="I451" s="19" t="str">
        <f>IFERROR(__xludf.DUMMYFUNCTION("""COMPUTED_VALUE"""),"Entregada")</f>
        <v>Entregada</v>
      </c>
      <c r="J451" s="20">
        <f>IFERROR(__xludf.DUMMYFUNCTION("""COMPUTED_VALUE"""),44697.0)</f>
        <v>44697</v>
      </c>
      <c r="K451" s="19" t="str">
        <f>IFERROR(__xludf.DUMMYFUNCTION("""COMPUTED_VALUE"""),"Entregada")</f>
        <v>Entregada</v>
      </c>
      <c r="L451" s="20">
        <f>IFERROR(__xludf.DUMMYFUNCTION("""COMPUTED_VALUE"""),44720.0)</f>
        <v>44720</v>
      </c>
      <c r="M451" s="19" t="str">
        <f>IFERROR(__xludf.DUMMYFUNCTION("""COMPUTED_VALUE"""),"PCM")</f>
        <v>PCM</v>
      </c>
      <c r="N451" s="19" t="str">
        <f>IFERROR(__xludf.DUMMYFUNCTION("""COMPUTED_VALUE"""),"PRIORIDAD 1 Q3 2023 OCTUBRE")</f>
        <v>PRIORIDAD 1 Q3 2023 OCTUBRE</v>
      </c>
    </row>
    <row r="452" ht="15.75" customHeight="1">
      <c r="A452" s="19" t="str">
        <f>IFERROR(__xludf.DUMMYFUNCTION("""COMPUTED_VALUE"""),"AB_10160")</f>
        <v>AB_10160</v>
      </c>
      <c r="B452" s="19" t="str">
        <f>IFERROR(__xludf.DUMMYFUNCTION("""COMPUTED_VALUE"""),"AB_10160_C")</f>
        <v>AB_10160_C</v>
      </c>
      <c r="C452" s="19" t="str">
        <f>IFERROR(__xludf.DUMMYFUNCTION("""COMPUTED_VALUE"""),"LL10160")</f>
        <v>LL10160</v>
      </c>
      <c r="D452" s="19" t="str">
        <f>IFERROR(__xludf.DUMMYFUNCTION("""COMPUTED_VALUE"""),"Cabo Forward Calbuco 5G 2")</f>
        <v>Cabo Forward Calbuco 5G 2</v>
      </c>
      <c r="E452" s="19" t="str">
        <f>IFERROR(__xludf.DUMMYFUNCTION("""COMPUTED_VALUE"""),"SITIO RFI")</f>
        <v>SITIO RFI</v>
      </c>
      <c r="F452" s="19" t="str">
        <f>IFERROR(__xludf.DUMMYFUNCTION("""COMPUTED_VALUE"""),"RFI")</f>
        <v>RFI</v>
      </c>
      <c r="G452" s="19" t="str">
        <f>IFERROR(__xludf.DUMMYFUNCTION("""COMPUTED_VALUE"""),"CV48")</f>
        <v>CV48</v>
      </c>
      <c r="H452" s="19" t="str">
        <f>IFERROR(__xludf.DUMMYFUNCTION("""COMPUTED_VALUE"""),"ADM")</f>
        <v>ADM</v>
      </c>
      <c r="I452" s="19" t="str">
        <f>IFERROR(__xludf.DUMMYFUNCTION("""COMPUTED_VALUE"""),"Entregada")</f>
        <v>Entregada</v>
      </c>
      <c r="J452" s="20">
        <f>IFERROR(__xludf.DUMMYFUNCTION("""COMPUTED_VALUE"""),44736.0)</f>
        <v>44736</v>
      </c>
      <c r="K452" s="19" t="str">
        <f>IFERROR(__xludf.DUMMYFUNCTION("""COMPUTED_VALUE"""),"Entregada")</f>
        <v>Entregada</v>
      </c>
      <c r="L452" s="20">
        <f>IFERROR(__xludf.DUMMYFUNCTION("""COMPUTED_VALUE"""),44771.0)</f>
        <v>44771</v>
      </c>
      <c r="M452" s="19" t="str">
        <f>IFERROR(__xludf.DUMMYFUNCTION("""COMPUTED_VALUE"""),"PCM")</f>
        <v>PCM</v>
      </c>
      <c r="N452" s="19" t="str">
        <f>IFERROR(__xludf.DUMMYFUNCTION("""COMPUTED_VALUE"""),"PRIORIDAD 1 Q3 2023 OCTUBRE")</f>
        <v>PRIORIDAD 1 Q3 2023 OCTUBRE</v>
      </c>
    </row>
    <row r="453" ht="15.75" customHeight="1">
      <c r="A453" s="19" t="str">
        <f>IFERROR(__xludf.DUMMYFUNCTION("""COMPUTED_VALUE"""),"AB_10263")</f>
        <v>AB_10263</v>
      </c>
      <c r="B453" s="19" t="str">
        <f>IFERROR(__xludf.DUMMYFUNCTION("""COMPUTED_VALUE"""),"AB_10263_C")</f>
        <v>AB_10263_C</v>
      </c>
      <c r="C453" s="19" t="str">
        <f>IFERROR(__xludf.DUMMYFUNCTION("""COMPUTED_VALUE"""),"LL10263")</f>
        <v>LL10263</v>
      </c>
      <c r="D453" s="19" t="str">
        <f>IFERROR(__xludf.DUMMYFUNCTION("""COMPUTED_VALUE"""),"Castro Salida Dalcahue")</f>
        <v>Castro Salida Dalcahue</v>
      </c>
      <c r="E453" s="19" t="str">
        <f>IFERROR(__xludf.DUMMYFUNCTION("""COMPUTED_VALUE"""),"SITIO RFI")</f>
        <v>SITIO RFI</v>
      </c>
      <c r="F453" s="19" t="str">
        <f>IFERROR(__xludf.DUMMYFUNCTION("""COMPUTED_VALUE"""),"RFI")</f>
        <v>RFI</v>
      </c>
      <c r="G453" s="19" t="str">
        <f>IFERROR(__xludf.DUMMYFUNCTION("""COMPUTED_VALUE"""),"CV48")</f>
        <v>CV48</v>
      </c>
      <c r="H453" s="19" t="str">
        <f>IFERROR(__xludf.DUMMYFUNCTION("""COMPUTED_VALUE"""),"ADM")</f>
        <v>ADM</v>
      </c>
      <c r="I453" s="19" t="str">
        <f>IFERROR(__xludf.DUMMYFUNCTION("""COMPUTED_VALUE"""),"Entregada")</f>
        <v>Entregada</v>
      </c>
      <c r="J453" s="20">
        <f>IFERROR(__xludf.DUMMYFUNCTION("""COMPUTED_VALUE"""),44736.0)</f>
        <v>44736</v>
      </c>
      <c r="K453" s="19" t="str">
        <f>IFERROR(__xludf.DUMMYFUNCTION("""COMPUTED_VALUE"""),"Entregada")</f>
        <v>Entregada</v>
      </c>
      <c r="L453" s="20">
        <f>IFERROR(__xludf.DUMMYFUNCTION("""COMPUTED_VALUE"""),44802.0)</f>
        <v>44802</v>
      </c>
      <c r="M453" s="19" t="str">
        <f>IFERROR(__xludf.DUMMYFUNCTION("""COMPUTED_VALUE"""),"PCM")</f>
        <v>PCM</v>
      </c>
      <c r="N453" s="19" t="str">
        <f>IFERROR(__xludf.DUMMYFUNCTION("""COMPUTED_VALUE"""),"PRIORIDAD 1 Q3 2023 OCTUBRE")</f>
        <v>PRIORIDAD 1 Q3 2023 OCTUBRE</v>
      </c>
    </row>
    <row r="454" ht="15.75" customHeight="1">
      <c r="A454" s="19" t="str">
        <f>IFERROR(__xludf.DUMMYFUNCTION("""COMPUTED_VALUE"""),"AB_10265")</f>
        <v>AB_10265</v>
      </c>
      <c r="B454" s="19" t="str">
        <f>IFERROR(__xludf.DUMMYFUNCTION("""COMPUTED_VALUE"""),"AB_10265_E")</f>
        <v>AB_10265_E</v>
      </c>
      <c r="C454" s="19" t="str">
        <f>IFERROR(__xludf.DUMMYFUNCTION("""COMPUTED_VALUE"""),"LL10265")</f>
        <v>LL10265</v>
      </c>
      <c r="D454" s="19" t="str">
        <f>IFERROR(__xludf.DUMMYFUNCTION("""COMPUTED_VALUE"""),"Planta Coca Cola Castro")</f>
        <v>Planta Coca Cola Castro</v>
      </c>
      <c r="E454" s="19" t="str">
        <f>IFERROR(__xludf.DUMMYFUNCTION("""COMPUTED_VALUE"""),"SITIO RFI")</f>
        <v>SITIO RFI</v>
      </c>
      <c r="F454" s="19" t="str">
        <f>IFERROR(__xludf.DUMMYFUNCTION("""COMPUTED_VALUE"""),"RFI")</f>
        <v>RFI</v>
      </c>
      <c r="G454" s="19" t="str">
        <f>IFERROR(__xludf.DUMMYFUNCTION("""COMPUTED_VALUE"""),"CV60")</f>
        <v>CV60</v>
      </c>
      <c r="H454" s="19" t="str">
        <f>IFERROR(__xludf.DUMMYFUNCTION("""COMPUTED_VALUE"""),"DEITEL")</f>
        <v>DEITEL</v>
      </c>
      <c r="I454" s="19" t="str">
        <f>IFERROR(__xludf.DUMMYFUNCTION("""COMPUTED_VALUE"""),"Entregada")</f>
        <v>Entregada</v>
      </c>
      <c r="J454" s="20">
        <f>IFERROR(__xludf.DUMMYFUNCTION("""COMPUTED_VALUE"""),44750.0)</f>
        <v>44750</v>
      </c>
      <c r="K454" s="19" t="str">
        <f>IFERROR(__xludf.DUMMYFUNCTION("""COMPUTED_VALUE"""),"Entregada")</f>
        <v>Entregada</v>
      </c>
      <c r="L454" s="20">
        <f>IFERROR(__xludf.DUMMYFUNCTION("""COMPUTED_VALUE"""),44782.0)</f>
        <v>44782</v>
      </c>
      <c r="M454" s="19" t="str">
        <f>IFERROR(__xludf.DUMMYFUNCTION("""COMPUTED_VALUE"""),"PCM")</f>
        <v>PCM</v>
      </c>
      <c r="N454" s="19" t="str">
        <f>IFERROR(__xludf.DUMMYFUNCTION("""COMPUTED_VALUE"""),"PRIORIDAD 1 Q3 2023 OCTUBRE")</f>
        <v>PRIORIDAD 1 Q3 2023 OCTUBRE</v>
      </c>
    </row>
    <row r="455" ht="15.75" customHeight="1">
      <c r="A455" s="19" t="str">
        <f>IFERROR(__xludf.DUMMYFUNCTION("""COMPUTED_VALUE"""),"AB_10266")</f>
        <v>AB_10266</v>
      </c>
      <c r="B455" s="19" t="str">
        <f>IFERROR(__xludf.DUMMYFUNCTION("""COMPUTED_VALUE"""),"AB_10266_A")</f>
        <v>AB_10266_A</v>
      </c>
      <c r="C455" s="19" t="str">
        <f>IFERROR(__xludf.DUMMYFUNCTION("""COMPUTED_VALUE"""),"LL10266")</f>
        <v>LL10266</v>
      </c>
      <c r="D455" s="19" t="str">
        <f>IFERROR(__xludf.DUMMYFUNCTION("""COMPUTED_VALUE"""),"Parcelas de Llanquihue")</f>
        <v>Parcelas de Llanquihue</v>
      </c>
      <c r="E455" s="19" t="str">
        <f>IFERROR(__xludf.DUMMYFUNCTION("""COMPUTED_VALUE"""),"SITIO RFI")</f>
        <v>SITIO RFI</v>
      </c>
      <c r="F455" s="19" t="str">
        <f>IFERROR(__xludf.DUMMYFUNCTION("""COMPUTED_VALUE"""),"RFI")</f>
        <v>RFI</v>
      </c>
      <c r="G455" s="19" t="str">
        <f>IFERROR(__xludf.DUMMYFUNCTION("""COMPUTED_VALUE"""),"AS48")</f>
        <v>AS48</v>
      </c>
      <c r="H455" s="19" t="str">
        <f>IFERROR(__xludf.DUMMYFUNCTION("""COMPUTED_VALUE"""),"MER")</f>
        <v>MER</v>
      </c>
      <c r="I455" s="19" t="str">
        <f>IFERROR(__xludf.DUMMYFUNCTION("""COMPUTED_VALUE"""),"Entregada")</f>
        <v>Entregada</v>
      </c>
      <c r="J455" s="20">
        <f>IFERROR(__xludf.DUMMYFUNCTION("""COMPUTED_VALUE"""),44697.0)</f>
        <v>44697</v>
      </c>
      <c r="K455" s="19" t="str">
        <f>IFERROR(__xludf.DUMMYFUNCTION("""COMPUTED_VALUE"""),"Entregada")</f>
        <v>Entregada</v>
      </c>
      <c r="L455" s="20">
        <f>IFERROR(__xludf.DUMMYFUNCTION("""COMPUTED_VALUE"""),44729.0)</f>
        <v>44729</v>
      </c>
      <c r="M455" s="19" t="str">
        <f>IFERROR(__xludf.DUMMYFUNCTION("""COMPUTED_VALUE"""),"PCM")</f>
        <v>PCM</v>
      </c>
      <c r="N455" s="19" t="str">
        <f>IFERROR(__xludf.DUMMYFUNCTION("""COMPUTED_VALUE"""),"PRIORIDAD 1 Q3 2023 OCTUBRE")</f>
        <v>PRIORIDAD 1 Q3 2023 OCTUBRE</v>
      </c>
    </row>
    <row r="456" ht="15.75" customHeight="1">
      <c r="A456" s="19" t="str">
        <f>IFERROR(__xludf.DUMMYFUNCTION("""COMPUTED_VALUE"""),"AB_10271")</f>
        <v>AB_10271</v>
      </c>
      <c r="B456" s="19" t="str">
        <f>IFERROR(__xludf.DUMMYFUNCTION("""COMPUTED_VALUE"""),"AB_10271_B")</f>
        <v>AB_10271_B</v>
      </c>
      <c r="C456" s="19" t="str">
        <f>IFERROR(__xludf.DUMMYFUNCTION("""COMPUTED_VALUE"""),"LL10271")</f>
        <v>LL10271</v>
      </c>
      <c r="D456" s="19" t="str">
        <f>IFERROR(__xludf.DUMMYFUNCTION("""COMPUTED_VALUE"""),"Ranfulco")</f>
        <v>Ranfulco</v>
      </c>
      <c r="E456" s="19" t="str">
        <f>IFERROR(__xludf.DUMMYFUNCTION("""COMPUTED_VALUE"""),"SITIO RFI")</f>
        <v>SITIO RFI</v>
      </c>
      <c r="F456" s="19" t="str">
        <f>IFERROR(__xludf.DUMMYFUNCTION("""COMPUTED_VALUE"""),"RFI")</f>
        <v>RFI</v>
      </c>
      <c r="G456" s="19" t="str">
        <f>IFERROR(__xludf.DUMMYFUNCTION("""COMPUTED_VALUE"""),"CV48")</f>
        <v>CV48</v>
      </c>
      <c r="H456" s="19" t="str">
        <f>IFERROR(__xludf.DUMMYFUNCTION("""COMPUTED_VALUE"""),"DEITEL")</f>
        <v>DEITEL</v>
      </c>
      <c r="I456" s="19" t="str">
        <f>IFERROR(__xludf.DUMMYFUNCTION("""COMPUTED_VALUE"""),"Entregada")</f>
        <v>Entregada</v>
      </c>
      <c r="J456" s="20">
        <f>IFERROR(__xludf.DUMMYFUNCTION("""COMPUTED_VALUE"""),44883.0)</f>
        <v>44883</v>
      </c>
      <c r="K456" s="19" t="str">
        <f>IFERROR(__xludf.DUMMYFUNCTION("""COMPUTED_VALUE"""),"Entregada")</f>
        <v>Entregada</v>
      </c>
      <c r="L456" s="20">
        <f>IFERROR(__xludf.DUMMYFUNCTION("""COMPUTED_VALUE"""),44897.0)</f>
        <v>44897</v>
      </c>
      <c r="M456" s="19" t="str">
        <f>IFERROR(__xludf.DUMMYFUNCTION("""COMPUTED_VALUE"""),"PCM_2")</f>
        <v>PCM_2</v>
      </c>
      <c r="N456" s="19" t="str">
        <f>IFERROR(__xludf.DUMMYFUNCTION("""COMPUTED_VALUE"""),"PRIORIDAD 1 Q3 2023 OCTUBRE")</f>
        <v>PRIORIDAD 1 Q3 2023 OCTUBRE</v>
      </c>
    </row>
    <row r="457" ht="15.75" customHeight="1">
      <c r="A457" s="19" t="str">
        <f>IFERROR(__xludf.DUMMYFUNCTION("""COMPUTED_VALUE"""),"AB_10283")</f>
        <v>AB_10283</v>
      </c>
      <c r="B457" s="19" t="str">
        <f>IFERROR(__xludf.DUMMYFUNCTION("""COMPUTED_VALUE"""),"AB_10283_B")</f>
        <v>AB_10283_B</v>
      </c>
      <c r="C457" s="19" t="str">
        <f>IFERROR(__xludf.DUMMYFUNCTION("""COMPUTED_VALUE"""),"LL10283")</f>
        <v>LL10283</v>
      </c>
      <c r="D457" s="19" t="str">
        <f>IFERROR(__xludf.DUMMYFUNCTION("""COMPUTED_VALUE"""),"Cabo Forward Calbuco 5G")</f>
        <v>Cabo Forward Calbuco 5G</v>
      </c>
      <c r="E457" s="19" t="str">
        <f>IFERROR(__xludf.DUMMYFUNCTION("""COMPUTED_VALUE"""),"SITIO RFI")</f>
        <v>SITIO RFI</v>
      </c>
      <c r="F457" s="19" t="str">
        <f>IFERROR(__xludf.DUMMYFUNCTION("""COMPUTED_VALUE"""),"RFI")</f>
        <v>RFI</v>
      </c>
      <c r="G457" s="19" t="str">
        <f>IFERROR(__xludf.DUMMYFUNCTION("""COMPUTED_VALUE"""),"CV42")</f>
        <v>CV42</v>
      </c>
      <c r="H457" s="19" t="str">
        <f>IFERROR(__xludf.DUMMYFUNCTION("""COMPUTED_VALUE"""),"SYC")</f>
        <v>SYC</v>
      </c>
      <c r="I457" s="19" t="str">
        <f>IFERROR(__xludf.DUMMYFUNCTION("""COMPUTED_VALUE"""),"Entregada")</f>
        <v>Entregada</v>
      </c>
      <c r="J457" s="20">
        <f>IFERROR(__xludf.DUMMYFUNCTION("""COMPUTED_VALUE"""),44890.0)</f>
        <v>44890</v>
      </c>
      <c r="K457" s="19" t="str">
        <f>IFERROR(__xludf.DUMMYFUNCTION("""COMPUTED_VALUE"""),"Entregada")</f>
        <v>Entregada</v>
      </c>
      <c r="L457" s="20">
        <f>IFERROR(__xludf.DUMMYFUNCTION("""COMPUTED_VALUE"""),44897.0)</f>
        <v>44897</v>
      </c>
      <c r="M457" s="19" t="str">
        <f>IFERROR(__xludf.DUMMYFUNCTION("""COMPUTED_VALUE"""),"PP")</f>
        <v>PP</v>
      </c>
      <c r="N457" s="19" t="str">
        <f>IFERROR(__xludf.DUMMYFUNCTION("""COMPUTED_VALUE"""),"PRIORIDAD 1 Q3 2023 OCTUBRE")</f>
        <v>PRIORIDAD 1 Q3 2023 OCTUBRE</v>
      </c>
    </row>
    <row r="458" ht="15.75" customHeight="1">
      <c r="A458" s="19" t="str">
        <f>IFERROR(__xludf.DUMMYFUNCTION("""COMPUTED_VALUE"""),"AB_10461")</f>
        <v>AB_10461</v>
      </c>
      <c r="B458" s="19" t="str">
        <f>IFERROR(__xludf.DUMMYFUNCTION("""COMPUTED_VALUE"""),"AB_10461_A")</f>
        <v>AB_10461_A</v>
      </c>
      <c r="C458" s="19" t="str">
        <f>IFERROR(__xludf.DUMMYFUNCTION("""COMPUTED_VALUE"""),"LL10461")</f>
        <v>LL10461</v>
      </c>
      <c r="D458" s="19" t="str">
        <f>IFERROR(__xludf.DUMMYFUNCTION("""COMPUTED_VALUE"""),"Futaleufu Cerro")</f>
        <v>Futaleufu Cerro</v>
      </c>
      <c r="E458" s="19" t="str">
        <f>IFERROR(__xludf.DUMMYFUNCTION("""COMPUTED_VALUE"""),"SITIO ASIGNADO")</f>
        <v>SITIO ASIGNADO</v>
      </c>
      <c r="F458" s="19"/>
      <c r="G458" s="19" t="str">
        <f>IFERROR(__xludf.DUMMYFUNCTION("""COMPUTED_VALUE"""),"CV42 (H)")</f>
        <v>CV42 (H)</v>
      </c>
      <c r="H458" s="19" t="str">
        <f>IFERROR(__xludf.DUMMYFUNCTION("""COMPUTED_VALUE"""),"AJ")</f>
        <v>AJ</v>
      </c>
      <c r="I458" s="19" t="str">
        <f>IFERROR(__xludf.DUMMYFUNCTION("""COMPUTED_VALUE"""),"Terminada")</f>
        <v>Terminada</v>
      </c>
      <c r="J458" s="20">
        <f>IFERROR(__xludf.DUMMYFUNCTION("""COMPUTED_VALUE"""),44732.0)</f>
        <v>44732</v>
      </c>
      <c r="K458" s="19" t="str">
        <f>IFERROR(__xludf.DUMMYFUNCTION("""COMPUTED_VALUE"""),"Por pintar ")</f>
        <v>Por pintar </v>
      </c>
      <c r="L458" s="20">
        <f>IFERROR(__xludf.DUMMYFUNCTION("""COMPUTED_VALUE"""),44860.0)</f>
        <v>44860</v>
      </c>
      <c r="M458" s="19" t="str">
        <f>IFERROR(__xludf.DUMMYFUNCTION("""COMPUTED_VALUE"""),"PCM")</f>
        <v>PCM</v>
      </c>
      <c r="N458" s="19" t="str">
        <f>IFERROR(__xludf.DUMMYFUNCTION("""COMPUTED_VALUE"""),"PRIORIDAD 1 Q3 2023 OCTUBRE")</f>
        <v>PRIORIDAD 1 Q3 2023 OCTUBRE</v>
      </c>
    </row>
    <row r="459" ht="15.75" customHeight="1">
      <c r="A459" s="19" t="str">
        <f>IFERROR(__xludf.DUMMYFUNCTION("""COMPUTED_VALUE"""),"AB_11354")</f>
        <v>AB_11354</v>
      </c>
      <c r="B459" s="19" t="str">
        <f>IFERROR(__xludf.DUMMYFUNCTION("""COMPUTED_VALUE"""),"AB_11354_A")</f>
        <v>AB_11354_A</v>
      </c>
      <c r="C459" s="19" t="str">
        <f>IFERROR(__xludf.DUMMYFUNCTION("""COMPUTED_VALUE"""),"LL11354")</f>
        <v>LL11354</v>
      </c>
      <c r="D459" s="19" t="str">
        <f>IFERROR(__xludf.DUMMYFUNCTION("""COMPUTED_VALUE"""),"Arroyo Claro Chaiten")</f>
        <v>Arroyo Claro Chaiten</v>
      </c>
      <c r="E459" s="19" t="str">
        <f>IFERROR(__xludf.DUMMYFUNCTION("""COMPUTED_VALUE"""),"DETENIDO SUBTEL")</f>
        <v>DETENIDO SUBTEL</v>
      </c>
      <c r="F459" s="19"/>
      <c r="G459" s="19" t="str">
        <f>IFERROR(__xludf.DUMMYFUNCTION("""COMPUTED_VALUE"""),"CV72")</f>
        <v>CV72</v>
      </c>
      <c r="H459" s="19" t="str">
        <f>IFERROR(__xludf.DUMMYFUNCTION("""COMPUTED_VALUE"""),"DEPROMET")</f>
        <v>DEPROMET</v>
      </c>
      <c r="I459" s="19" t="str">
        <f>IFERROR(__xludf.DUMMYFUNCTION("""COMPUTED_VALUE"""),"Asignada")</f>
        <v>Asignada</v>
      </c>
      <c r="J459" s="20">
        <f>IFERROR(__xludf.DUMMYFUNCTION("""COMPUTED_VALUE"""),45156.0)</f>
        <v>45156</v>
      </c>
      <c r="K459" s="19" t="str">
        <f>IFERROR(__xludf.DUMMYFUNCTION("""COMPUTED_VALUE"""),"Asignada")</f>
        <v>Asignada</v>
      </c>
      <c r="L459" s="20">
        <f>IFERROR(__xludf.DUMMYFUNCTION("""COMPUTED_VALUE"""),45163.0)</f>
        <v>45163</v>
      </c>
      <c r="M459" s="19" t="str">
        <f>IFERROR(__xludf.DUMMYFUNCTION("""COMPUTED_VALUE"""),"PCM_2")</f>
        <v>PCM_2</v>
      </c>
      <c r="N459" s="19" t="str">
        <f>IFERROR(__xludf.DUMMYFUNCTION("""COMPUTED_VALUE"""),"PRIORIDAD 1 Q3 2023 OCTUBRE")</f>
        <v>PRIORIDAD 1 Q3 2023 OCTUBRE</v>
      </c>
    </row>
    <row r="460" ht="15.75" customHeight="1">
      <c r="A460" s="19" t="str">
        <f>IFERROR(__xludf.DUMMYFUNCTION("""COMPUTED_VALUE"""),"AB_11357")</f>
        <v>AB_11357</v>
      </c>
      <c r="B460" s="19" t="str">
        <f>IFERROR(__xludf.DUMMYFUNCTION("""COMPUTED_VALUE"""),"AB_11357_A")</f>
        <v>AB_11357_A</v>
      </c>
      <c r="C460" s="19" t="str">
        <f>IFERROR(__xludf.DUMMYFUNCTION("""COMPUTED_VALUE"""),"LL11357")</f>
        <v>LL11357</v>
      </c>
      <c r="D460" s="19" t="str">
        <f>IFERROR(__xludf.DUMMYFUNCTION("""COMPUTED_VALUE"""),"Futaleufu River")</f>
        <v>Futaleufu River</v>
      </c>
      <c r="E460" s="19" t="str">
        <f>IFERROR(__xludf.DUMMYFUNCTION("""COMPUTED_VALUE"""),"SITIO RFI")</f>
        <v>SITIO RFI</v>
      </c>
      <c r="F460" s="19" t="str">
        <f>IFERROR(__xludf.DUMMYFUNCTION("""COMPUTED_VALUE"""),"RFI")</f>
        <v>RFI</v>
      </c>
      <c r="G460" s="19" t="str">
        <f>IFERROR(__xludf.DUMMYFUNCTION("""COMPUTED_VALUE"""),"CV60")</f>
        <v>CV60</v>
      </c>
      <c r="H460" s="19" t="str">
        <f>IFERROR(__xludf.DUMMYFUNCTION("""COMPUTED_VALUE"""),"DEPROMET")</f>
        <v>DEPROMET</v>
      </c>
      <c r="I460" s="19" t="str">
        <f>IFERROR(__xludf.DUMMYFUNCTION("""COMPUTED_VALUE"""),"Entregada")</f>
        <v>Entregada</v>
      </c>
      <c r="J460" s="20">
        <f>IFERROR(__xludf.DUMMYFUNCTION("""COMPUTED_VALUE"""),44708.0)</f>
        <v>44708</v>
      </c>
      <c r="K460" s="19" t="str">
        <f>IFERROR(__xludf.DUMMYFUNCTION("""COMPUTED_VALUE"""),"Entregada")</f>
        <v>Entregada</v>
      </c>
      <c r="L460" s="20">
        <f>IFERROR(__xludf.DUMMYFUNCTION("""COMPUTED_VALUE"""),44811.0)</f>
        <v>44811</v>
      </c>
      <c r="M460" s="19" t="str">
        <f>IFERROR(__xludf.DUMMYFUNCTION("""COMPUTED_VALUE"""),"PCM_2")</f>
        <v>PCM_2</v>
      </c>
      <c r="N460" s="19" t="str">
        <f>IFERROR(__xludf.DUMMYFUNCTION("""COMPUTED_VALUE"""),"PRIORIDAD 1 Q3 2023 OCTUBRE")</f>
        <v>PRIORIDAD 1 Q3 2023 OCTUBRE</v>
      </c>
    </row>
    <row r="461" ht="15.75" customHeight="1">
      <c r="A461" s="19" t="str">
        <f>IFERROR(__xludf.DUMMYFUNCTION("""COMPUTED_VALUE"""),"AB_11662")</f>
        <v>AB_11662</v>
      </c>
      <c r="B461" s="19" t="str">
        <f>IFERROR(__xludf.DUMMYFUNCTION("""COMPUTED_VALUE"""),"AB_11662_B")</f>
        <v>AB_11662_B</v>
      </c>
      <c r="C461" s="19" t="str">
        <f>IFERROR(__xludf.DUMMYFUNCTION("""COMPUTED_VALUE"""),"LL11662")</f>
        <v>LL11662</v>
      </c>
      <c r="D461" s="19" t="str">
        <f>IFERROR(__xludf.DUMMYFUNCTION("""COMPUTED_VALUE"""),"RPT RIO PALENA")</f>
        <v>RPT RIO PALENA</v>
      </c>
      <c r="E461" s="19" t="str">
        <f>IFERROR(__xludf.DUMMYFUNCTION("""COMPUTED_VALUE"""),"SITIO ASIGNADO")</f>
        <v>SITIO ASIGNADO</v>
      </c>
      <c r="F461" s="19"/>
      <c r="G461" s="19" t="str">
        <f>IFERROR(__xludf.DUMMYFUNCTION("""COMPUTED_VALUE"""),"AS24")</f>
        <v>AS24</v>
      </c>
      <c r="H461" s="19" t="str">
        <f>IFERROR(__xludf.DUMMYFUNCTION("""COMPUTED_VALUE"""),"AJ")</f>
        <v>AJ</v>
      </c>
      <c r="I461" s="19" t="str">
        <f>IFERROR(__xludf.DUMMYFUNCTION("""COMPUTED_VALUE"""),"Terminada")</f>
        <v>Terminada</v>
      </c>
      <c r="J461" s="20">
        <f>IFERROR(__xludf.DUMMYFUNCTION("""COMPUTED_VALUE"""),44697.0)</f>
        <v>44697</v>
      </c>
      <c r="K461" s="19" t="str">
        <f>IFERROR(__xludf.DUMMYFUNCTION("""COMPUTED_VALUE"""),"Por pintar ")</f>
        <v>Por pintar </v>
      </c>
      <c r="L461" s="20">
        <f>IFERROR(__xludf.DUMMYFUNCTION("""COMPUTED_VALUE"""),44848.0)</f>
        <v>44848</v>
      </c>
      <c r="M461" s="19" t="str">
        <f>IFERROR(__xludf.DUMMYFUNCTION("""COMPUTED_VALUE"""),"PCM_3")</f>
        <v>PCM_3</v>
      </c>
      <c r="N461" s="19" t="str">
        <f>IFERROR(__xludf.DUMMYFUNCTION("""COMPUTED_VALUE"""),"PRIORIDAD 3 Q1 2024 MARZO")</f>
        <v>PRIORIDAD 3 Q1 2024 MARZO</v>
      </c>
    </row>
    <row r="462" ht="15.75" customHeight="1">
      <c r="A462" s="19" t="str">
        <f>IFERROR(__xludf.DUMMYFUNCTION("""COMPUTED_VALUE"""),"AB_11730")</f>
        <v>AB_11730</v>
      </c>
      <c r="B462" s="19" t="str">
        <f>IFERROR(__xludf.DUMMYFUNCTION("""COMPUTED_VALUE"""),"AB_11730_A")</f>
        <v>AB_11730_A</v>
      </c>
      <c r="C462" s="19" t="str">
        <f>IFERROR(__xludf.DUMMYFUNCTION("""COMPUTED_VALUE"""),"LL11730")</f>
        <v>LL11730</v>
      </c>
      <c r="D462" s="19" t="str">
        <f>IFERROR(__xludf.DUMMYFUNCTION("""COMPUTED_VALUE"""),"Caleta Chaparano")</f>
        <v>Caleta Chaparano</v>
      </c>
      <c r="E462" s="19" t="str">
        <f>IFERROR(__xludf.DUMMYFUNCTION("""COMPUTED_VALUE"""),"SITIO PENDIENTE")</f>
        <v>SITIO PENDIENTE</v>
      </c>
      <c r="F462" s="19"/>
      <c r="G462" s="19" t="str">
        <f>IFERROR(__xludf.DUMMYFUNCTION("""COMPUTED_VALUE"""),"CV60")</f>
        <v>CV60</v>
      </c>
      <c r="H462" s="19" t="str">
        <f>IFERROR(__xludf.DUMMYFUNCTION("""COMPUTED_VALUE"""),"")</f>
        <v/>
      </c>
      <c r="I462" s="19" t="str">
        <f>IFERROR(__xludf.DUMMYFUNCTION("""COMPUTED_VALUE"""),"")</f>
        <v/>
      </c>
      <c r="J462" s="20" t="str">
        <f>IFERROR(__xludf.DUMMYFUNCTION("""COMPUTED_VALUE"""),"")</f>
        <v/>
      </c>
      <c r="K462" s="19" t="str">
        <f>IFERROR(__xludf.DUMMYFUNCTION("""COMPUTED_VALUE"""),"")</f>
        <v/>
      </c>
      <c r="L462" s="20" t="str">
        <f>IFERROR(__xludf.DUMMYFUNCTION("""COMPUTED_VALUE"""),"")</f>
        <v/>
      </c>
      <c r="M462" s="19" t="str">
        <f>IFERROR(__xludf.DUMMYFUNCTION("""COMPUTED_VALUE"""),"PP_2")</f>
        <v>PP_2</v>
      </c>
      <c r="N462" s="19" t="str">
        <f>IFERROR(__xludf.DUMMYFUNCTION("""COMPUTED_VALUE"""),"PRIORIDAD 3 Q1 2024 MARZO")</f>
        <v>PRIORIDAD 3 Q1 2024 MARZO</v>
      </c>
    </row>
    <row r="463" ht="15.75" customHeight="1">
      <c r="A463" s="19" t="str">
        <f>IFERROR(__xludf.DUMMYFUNCTION("""COMPUTED_VALUE"""),"AB_1185")</f>
        <v>AB_1185</v>
      </c>
      <c r="B463" s="19" t="str">
        <f>IFERROR(__xludf.DUMMYFUNCTION("""COMPUTED_VALUE"""),"AB_1185_D")</f>
        <v>AB_1185_D</v>
      </c>
      <c r="C463" s="19" t="str">
        <f>IFERROR(__xludf.DUMMYFUNCTION("""COMPUTED_VALUE"""),"LL1185")</f>
        <v>LL1185</v>
      </c>
      <c r="D463" s="19" t="str">
        <f>IFERROR(__xludf.DUMMYFUNCTION("""COMPUTED_VALUE"""),"Hornopiren")</f>
        <v>Hornopiren</v>
      </c>
      <c r="E463" s="19" t="str">
        <f>IFERROR(__xludf.DUMMYFUNCTION("""COMPUTED_VALUE"""),"SITIO RFI")</f>
        <v>SITIO RFI</v>
      </c>
      <c r="F463" s="19" t="str">
        <f>IFERROR(__xludf.DUMMYFUNCTION("""COMPUTED_VALUE"""),"RFI")</f>
        <v>RFI</v>
      </c>
      <c r="G463" s="19" t="str">
        <f>IFERROR(__xludf.DUMMYFUNCTION("""COMPUTED_VALUE"""),"CV48")</f>
        <v>CV48</v>
      </c>
      <c r="H463" s="19" t="str">
        <f>IFERROR(__xludf.DUMMYFUNCTION("""COMPUTED_VALUE"""),"ADM")</f>
        <v>ADM</v>
      </c>
      <c r="I463" s="19" t="str">
        <f>IFERROR(__xludf.DUMMYFUNCTION("""COMPUTED_VALUE"""),"Entregada")</f>
        <v>Entregada</v>
      </c>
      <c r="J463" s="20">
        <f>IFERROR(__xludf.DUMMYFUNCTION("""COMPUTED_VALUE"""),44736.0)</f>
        <v>44736</v>
      </c>
      <c r="K463" s="19" t="str">
        <f>IFERROR(__xludf.DUMMYFUNCTION("""COMPUTED_VALUE"""),"Entregada")</f>
        <v>Entregada</v>
      </c>
      <c r="L463" s="20">
        <f>IFERROR(__xludf.DUMMYFUNCTION("""COMPUTED_VALUE"""),44832.0)</f>
        <v>44832</v>
      </c>
      <c r="M463" s="19" t="str">
        <f>IFERROR(__xludf.DUMMYFUNCTION("""COMPUTED_VALUE"""),"PCM")</f>
        <v>PCM</v>
      </c>
      <c r="N463" s="19" t="str">
        <f>IFERROR(__xludf.DUMMYFUNCTION("""COMPUTED_VALUE"""),"PRIORIDAD 1 Q3 2023 OCTUBRE")</f>
        <v>PRIORIDAD 1 Q3 2023 OCTUBRE</v>
      </c>
    </row>
    <row r="464" ht="15.75" customHeight="1">
      <c r="A464" s="19" t="str">
        <f>IFERROR(__xludf.DUMMYFUNCTION("""COMPUTED_VALUE"""),"AB_1509")</f>
        <v>AB_1509</v>
      </c>
      <c r="B464" s="19" t="str">
        <f>IFERROR(__xludf.DUMMYFUNCTION("""COMPUTED_VALUE"""),"AB_1509_D")</f>
        <v>AB_1509_D</v>
      </c>
      <c r="C464" s="19" t="str">
        <f>IFERROR(__xludf.DUMMYFUNCTION("""COMPUTED_VALUE"""),"LL1509")</f>
        <v>LL1509</v>
      </c>
      <c r="D464" s="19" t="str">
        <f>IFERROR(__xludf.DUMMYFUNCTION("""COMPUTED_VALUE"""),"Canutillar")</f>
        <v>Canutillar</v>
      </c>
      <c r="E464" s="19" t="str">
        <f>IFERROR(__xludf.DUMMYFUNCTION("""COMPUTED_VALUE"""),"SITIO EN CONSTRUCCION")</f>
        <v>SITIO EN CONSTRUCCION</v>
      </c>
      <c r="F464" s="19" t="str">
        <f>IFERROR(__xludf.DUMMYFUNCTION("""COMPUTED_VALUE"""),"EXCAVACION")</f>
        <v>EXCAVACION</v>
      </c>
      <c r="G464" s="19" t="str">
        <f>IFERROR(__xludf.DUMMYFUNCTION("""COMPUTED_VALUE"""),"CV60")</f>
        <v>CV60</v>
      </c>
      <c r="H464" s="19" t="str">
        <f>IFERROR(__xludf.DUMMYFUNCTION("""COMPUTED_VALUE"""),"MER")</f>
        <v>MER</v>
      </c>
      <c r="I464" s="19" t="str">
        <f>IFERROR(__xludf.DUMMYFUNCTION("""COMPUTED_VALUE"""),"Entregada")</f>
        <v>Entregada</v>
      </c>
      <c r="J464" s="20">
        <f>IFERROR(__xludf.DUMMYFUNCTION("""COMPUTED_VALUE"""),44729.0)</f>
        <v>44729</v>
      </c>
      <c r="K464" s="19" t="str">
        <f>IFERROR(__xludf.DUMMYFUNCTION("""COMPUTED_VALUE"""),"Terminada")</f>
        <v>Terminada</v>
      </c>
      <c r="L464" s="20">
        <f>IFERROR(__xludf.DUMMYFUNCTION("""COMPUTED_VALUE"""),44736.0)</f>
        <v>44736</v>
      </c>
      <c r="M464" s="19" t="str">
        <f>IFERROR(__xludf.DUMMYFUNCTION("""COMPUTED_VALUE"""),"PCM")</f>
        <v>PCM</v>
      </c>
      <c r="N464" s="19" t="str">
        <f>IFERROR(__xludf.DUMMYFUNCTION("""COMPUTED_VALUE"""),"PRIORIDAD 1 Q3 2023 OCTUBRE")</f>
        <v>PRIORIDAD 1 Q3 2023 OCTUBRE</v>
      </c>
    </row>
    <row r="465" ht="15.75" customHeight="1">
      <c r="A465" s="19" t="str">
        <f>IFERROR(__xludf.DUMMYFUNCTION("""COMPUTED_VALUE"""),"AB_1756")</f>
        <v>AB_1756</v>
      </c>
      <c r="B465" s="19" t="str">
        <f>IFERROR(__xludf.DUMMYFUNCTION("""COMPUTED_VALUE"""),"AB_1756_B")</f>
        <v>AB_1756_B</v>
      </c>
      <c r="C465" s="19" t="str">
        <f>IFERROR(__xludf.DUMMYFUNCTION("""COMPUTED_VALUE"""),"LL1756")</f>
        <v>LL1756</v>
      </c>
      <c r="D465" s="19" t="str">
        <f>IFERROR(__xludf.DUMMYFUNCTION("""COMPUTED_VALUE"""),"RPT Volcán Osorno")</f>
        <v>RPT Volcán Osorno</v>
      </c>
      <c r="E465" s="19" t="str">
        <f>IFERROR(__xludf.DUMMYFUNCTION("""COMPUTED_VALUE"""),"SITIO PENDIENTE")</f>
        <v>SITIO PENDIENTE</v>
      </c>
      <c r="F465" s="19"/>
      <c r="G465" s="19" t="str">
        <f>IFERROR(__xludf.DUMMYFUNCTION("""COMPUTED_VALUE"""),"x")</f>
        <v>x</v>
      </c>
      <c r="H465" s="19" t="str">
        <f>IFERROR(__xludf.DUMMYFUNCTION("""COMPUTED_VALUE"""),"x")</f>
        <v>x</v>
      </c>
      <c r="I465" s="19" t="str">
        <f>IFERROR(__xludf.DUMMYFUNCTION("""COMPUTED_VALUE"""),"x")</f>
        <v>x</v>
      </c>
      <c r="J465" s="20" t="str">
        <f>IFERROR(__xludf.DUMMYFUNCTION("""COMPUTED_VALUE"""),"x")</f>
        <v>x</v>
      </c>
      <c r="K465" s="19" t="str">
        <f>IFERROR(__xludf.DUMMYFUNCTION("""COMPUTED_VALUE"""),"x")</f>
        <v>x</v>
      </c>
      <c r="L465" s="20" t="str">
        <f>IFERROR(__xludf.DUMMYFUNCTION("""COMPUTED_VALUE"""),"x")</f>
        <v>x</v>
      </c>
      <c r="M465" s="19" t="str">
        <f>IFERROR(__xludf.DUMMYFUNCTION("""COMPUTED_VALUE"""),"PP_3")</f>
        <v>PP_3</v>
      </c>
      <c r="N465" s="19" t="str">
        <f>IFERROR(__xludf.DUMMYFUNCTION("""COMPUTED_VALUE"""),"PRIORIDAD 3 Q1 2024 MARZO")</f>
        <v>PRIORIDAD 3 Q1 2024 MARZO</v>
      </c>
    </row>
    <row r="466" ht="15.75" customHeight="1">
      <c r="A466" s="19" t="str">
        <f>IFERROR(__xludf.DUMMYFUNCTION("""COMPUTED_VALUE"""),"AB_2291")</f>
        <v>AB_2291</v>
      </c>
      <c r="B466" s="19" t="str">
        <f>IFERROR(__xludf.DUMMYFUNCTION("""COMPUTED_VALUE"""),"AB_2291_E")</f>
        <v>AB_2291_E</v>
      </c>
      <c r="C466" s="19" t="str">
        <f>IFERROR(__xludf.DUMMYFUNCTION("""COMPUTED_VALUE"""),"LL2291")</f>
        <v>LL2291</v>
      </c>
      <c r="D466" s="19" t="str">
        <f>IFERROR(__xludf.DUMMYFUNCTION("""COMPUTED_VALUE"""),"Purrehuin Alto Repetidor")</f>
        <v>Purrehuin Alto Repetidor</v>
      </c>
      <c r="E466" s="19" t="str">
        <f>IFERROR(__xludf.DUMMYFUNCTION("""COMPUTED_VALUE"""),"SITIO RFI")</f>
        <v>SITIO RFI</v>
      </c>
      <c r="F466" s="19" t="str">
        <f>IFERROR(__xludf.DUMMYFUNCTION("""COMPUTED_VALUE"""),"RFI")</f>
        <v>RFI</v>
      </c>
      <c r="G466" s="19" t="str">
        <f>IFERROR(__xludf.DUMMYFUNCTION("""COMPUTED_VALUE"""),"AS60")</f>
        <v>AS60</v>
      </c>
      <c r="H466" s="19" t="str">
        <f>IFERROR(__xludf.DUMMYFUNCTION("""COMPUTED_VALUE"""),"MT")</f>
        <v>MT</v>
      </c>
      <c r="I466" s="19" t="str">
        <f>IFERROR(__xludf.DUMMYFUNCTION("""COMPUTED_VALUE"""),"Entregada")</f>
        <v>Entregada</v>
      </c>
      <c r="J466" s="20">
        <f>IFERROR(__xludf.DUMMYFUNCTION("""COMPUTED_VALUE"""),44687.0)</f>
        <v>44687</v>
      </c>
      <c r="K466" s="19" t="str">
        <f>IFERROR(__xludf.DUMMYFUNCTION("""COMPUTED_VALUE"""),"Entregada")</f>
        <v>Entregada</v>
      </c>
      <c r="L466" s="20">
        <f>IFERROR(__xludf.DUMMYFUNCTION("""COMPUTED_VALUE"""),44687.0)</f>
        <v>44687</v>
      </c>
      <c r="M466" s="19" t="str">
        <f>IFERROR(__xludf.DUMMYFUNCTION("""COMPUTED_VALUE"""),"PCM")</f>
        <v>PCM</v>
      </c>
      <c r="N466" s="19" t="str">
        <f>IFERROR(__xludf.DUMMYFUNCTION("""COMPUTED_VALUE"""),"PRIORIDAD 1 Q3 2023 OCTUBRE")</f>
        <v>PRIORIDAD 1 Q3 2023 OCTUBRE</v>
      </c>
    </row>
    <row r="467" ht="15.75" customHeight="1">
      <c r="A467" s="19" t="str">
        <f>IFERROR(__xludf.DUMMYFUNCTION("""COMPUTED_VALUE"""),"AB_2292")</f>
        <v>AB_2292</v>
      </c>
      <c r="B467" s="19" t="str">
        <f>IFERROR(__xludf.DUMMYFUNCTION("""COMPUTED_VALUE"""),"AB_2292_E")</f>
        <v>AB_2292_E</v>
      </c>
      <c r="C467" s="19" t="str">
        <f>IFERROR(__xludf.DUMMYFUNCTION("""COMPUTED_VALUE"""),"LL2292")</f>
        <v>LL2292</v>
      </c>
      <c r="D467" s="19" t="str">
        <f>IFERROR(__xludf.DUMMYFUNCTION("""COMPUTED_VALUE"""),"Bahia Mansa Repetidor")</f>
        <v>Bahia Mansa Repetidor</v>
      </c>
      <c r="E467" s="19" t="str">
        <f>IFERROR(__xludf.DUMMYFUNCTION("""COMPUTED_VALUE"""),"SITIO RFI")</f>
        <v>SITIO RFI</v>
      </c>
      <c r="F467" s="19" t="str">
        <f>IFERROR(__xludf.DUMMYFUNCTION("""COMPUTED_VALUE"""),"RFI")</f>
        <v>RFI</v>
      </c>
      <c r="G467" s="19" t="str">
        <f>IFERROR(__xludf.DUMMYFUNCTION("""COMPUTED_VALUE"""),"AS60")</f>
        <v>AS60</v>
      </c>
      <c r="H467" s="19" t="str">
        <f>IFERROR(__xludf.DUMMYFUNCTION("""COMPUTED_VALUE"""),"MER")</f>
        <v>MER</v>
      </c>
      <c r="I467" s="19" t="str">
        <f>IFERROR(__xludf.DUMMYFUNCTION("""COMPUTED_VALUE"""),"Entregada")</f>
        <v>Entregada</v>
      </c>
      <c r="J467" s="20">
        <f>IFERROR(__xludf.DUMMYFUNCTION("""COMPUTED_VALUE"""),44708.0)</f>
        <v>44708</v>
      </c>
      <c r="K467" s="19" t="str">
        <f>IFERROR(__xludf.DUMMYFUNCTION("""COMPUTED_VALUE"""),"Entregada")</f>
        <v>Entregada</v>
      </c>
      <c r="L467" s="20">
        <f>IFERROR(__xludf.DUMMYFUNCTION("""COMPUTED_VALUE"""),44729.0)</f>
        <v>44729</v>
      </c>
      <c r="M467" s="19" t="str">
        <f>IFERROR(__xludf.DUMMYFUNCTION("""COMPUTED_VALUE"""),"PCM")</f>
        <v>PCM</v>
      </c>
      <c r="N467" s="19" t="str">
        <f>IFERROR(__xludf.DUMMYFUNCTION("""COMPUTED_VALUE"""),"PRIORIDAD 1 Q3 2023 OCTUBRE")</f>
        <v>PRIORIDAD 1 Q3 2023 OCTUBRE</v>
      </c>
    </row>
    <row r="468" ht="15.75" customHeight="1">
      <c r="A468" s="19" t="str">
        <f>IFERROR(__xludf.DUMMYFUNCTION("""COMPUTED_VALUE"""),"AB_4877")</f>
        <v>AB_4877</v>
      </c>
      <c r="B468" s="19" t="str">
        <f>IFERROR(__xludf.DUMMYFUNCTION("""COMPUTED_VALUE"""),"AB_4877_C")</f>
        <v>AB_4877_C</v>
      </c>
      <c r="C468" s="19" t="str">
        <f>IFERROR(__xludf.DUMMYFUNCTION("""COMPUTED_VALUE"""),"LL4877")</f>
        <v>LL4877</v>
      </c>
      <c r="D468" s="19" t="str">
        <f>IFERROR(__xludf.DUMMYFUNCTION("""COMPUTED_VALUE"""),"Acceso Oriente Carelmapu")</f>
        <v>Acceso Oriente Carelmapu</v>
      </c>
      <c r="E468" s="19" t="str">
        <f>IFERROR(__xludf.DUMMYFUNCTION("""COMPUTED_VALUE"""),"SITIO RFI")</f>
        <v>SITIO RFI</v>
      </c>
      <c r="F468" s="19" t="str">
        <f>IFERROR(__xludf.DUMMYFUNCTION("""COMPUTED_VALUE"""),"RFI")</f>
        <v>RFI</v>
      </c>
      <c r="G468" s="19" t="str">
        <f>IFERROR(__xludf.DUMMYFUNCTION("""COMPUTED_VALUE"""),"CV48")</f>
        <v>CV48</v>
      </c>
      <c r="H468" s="19" t="str">
        <f>IFERROR(__xludf.DUMMYFUNCTION("""COMPUTED_VALUE"""),"MT")</f>
        <v>MT</v>
      </c>
      <c r="I468" s="19" t="str">
        <f>IFERROR(__xludf.DUMMYFUNCTION("""COMPUTED_VALUE"""),"Entregada")</f>
        <v>Entregada</v>
      </c>
      <c r="J468" s="20">
        <f>IFERROR(__xludf.DUMMYFUNCTION("""COMPUTED_VALUE"""),44272.0)</f>
        <v>44272</v>
      </c>
      <c r="K468" s="19" t="str">
        <f>IFERROR(__xludf.DUMMYFUNCTION("""COMPUTED_VALUE"""),"Entregada")</f>
        <v>Entregada</v>
      </c>
      <c r="L468" s="20">
        <f>IFERROR(__xludf.DUMMYFUNCTION("""COMPUTED_VALUE"""),44272.0)</f>
        <v>44272</v>
      </c>
      <c r="M468" s="19" t="str">
        <f>IFERROR(__xludf.DUMMYFUNCTION("""COMPUTED_VALUE"""),"PCM")</f>
        <v>PCM</v>
      </c>
      <c r="N468" s="19" t="str">
        <f>IFERROR(__xludf.DUMMYFUNCTION("""COMPUTED_VALUE"""),"PRIORIDAD 1 Q3 2023 OCTUBRE")</f>
        <v>PRIORIDAD 1 Q3 2023 OCTUBRE</v>
      </c>
    </row>
    <row r="469" ht="15.75" customHeight="1">
      <c r="A469" s="19" t="str">
        <f>IFERROR(__xludf.DUMMYFUNCTION("""COMPUTED_VALUE"""),"AB_5294")</f>
        <v>AB_5294</v>
      </c>
      <c r="B469" s="19" t="str">
        <f>IFERROR(__xludf.DUMMYFUNCTION("""COMPUTED_VALUE"""),"AB_5294_J")</f>
        <v>AB_5294_J</v>
      </c>
      <c r="C469" s="19" t="str">
        <f>IFERROR(__xludf.DUMMYFUNCTION("""COMPUTED_VALUE"""),"LL5294")</f>
        <v>LL5294</v>
      </c>
      <c r="D469" s="19" t="str">
        <f>IFERROR(__xludf.DUMMYFUNCTION("""COMPUTED_VALUE"""),"Estacionamiento El Tepual")</f>
        <v>Estacionamiento El Tepual</v>
      </c>
      <c r="E469" s="19" t="str">
        <f>IFERROR(__xludf.DUMMYFUNCTION("""COMPUTED_VALUE"""),"EN VALIDACION COMPRAS")</f>
        <v>EN VALIDACION COMPRAS</v>
      </c>
      <c r="F469" s="19"/>
      <c r="G469" s="19" t="str">
        <f>IFERROR(__xludf.DUMMYFUNCTION("""COMPUTED_VALUE"""),"MP R36")</f>
        <v>MP R36</v>
      </c>
      <c r="H469" s="19" t="str">
        <f>IFERROR(__xludf.DUMMYFUNCTION("""COMPUTED_VALUE"""),"INICIATIVA")</f>
        <v>INICIATIVA</v>
      </c>
      <c r="I469" s="19" t="str">
        <f>IFERROR(__xludf.DUMMYFUNCTION("""COMPUTED_VALUE"""),"Asignada")</f>
        <v>Asignada</v>
      </c>
      <c r="J469" s="20">
        <f>IFERROR(__xludf.DUMMYFUNCTION("""COMPUTED_VALUE"""),45072.0)</f>
        <v>45072</v>
      </c>
      <c r="K469" s="19" t="str">
        <f>IFERROR(__xludf.DUMMYFUNCTION("""COMPUTED_VALUE"""),"Asignada")</f>
        <v>Asignada</v>
      </c>
      <c r="L469" s="20">
        <f>IFERROR(__xludf.DUMMYFUNCTION("""COMPUTED_VALUE"""),45128.0)</f>
        <v>45128</v>
      </c>
      <c r="M469" s="19" t="str">
        <f>IFERROR(__xludf.DUMMYFUNCTION("""COMPUTED_VALUE"""),"PP")</f>
        <v>PP</v>
      </c>
      <c r="N469" s="19" t="str">
        <f>IFERROR(__xludf.DUMMYFUNCTION("""COMPUTED_VALUE"""),"PRIORIDAD 1 Q3 2023 OCTUBRE")</f>
        <v>PRIORIDAD 1 Q3 2023 OCTUBRE</v>
      </c>
    </row>
    <row r="470" ht="15.75" customHeight="1">
      <c r="A470" s="19" t="str">
        <f>IFERROR(__xludf.DUMMYFUNCTION("""COMPUTED_VALUE"""),"AB_5388")</f>
        <v>AB_5388</v>
      </c>
      <c r="B470" s="19" t="str">
        <f>IFERROR(__xludf.DUMMYFUNCTION("""COMPUTED_VALUE"""),"AB_5388_B")</f>
        <v>AB_5388_B</v>
      </c>
      <c r="C470" s="19" t="str">
        <f>IFERROR(__xludf.DUMMYFUNCTION("""COMPUTED_VALUE"""),"LL5388")</f>
        <v>LL5388</v>
      </c>
      <c r="D470" s="19" t="str">
        <f>IFERROR(__xludf.DUMMYFUNCTION("""COMPUTED_VALUE"""),"Caleta Puelche")</f>
        <v>Caleta Puelche</v>
      </c>
      <c r="E470" s="19" t="str">
        <f>IFERROR(__xludf.DUMMYFUNCTION("""COMPUTED_VALUE"""),"SITIO ASIGNADO")</f>
        <v>SITIO ASIGNADO</v>
      </c>
      <c r="F470" s="19"/>
      <c r="G470" s="19" t="str">
        <f>IFERROR(__xludf.DUMMYFUNCTION("""COMPUTED_VALUE"""),"CV60 E")</f>
        <v>CV60 E</v>
      </c>
      <c r="H470" s="19" t="str">
        <f>IFERROR(__xludf.DUMMYFUNCTION("""COMPUTED_VALUE"""),"INCOSERV")</f>
        <v>INCOSERV</v>
      </c>
      <c r="I470" s="19" t="str">
        <f>IFERROR(__xludf.DUMMYFUNCTION("""COMPUTED_VALUE"""),"Asignada")</f>
        <v>Asignada</v>
      </c>
      <c r="J470" s="20">
        <f>IFERROR(__xludf.DUMMYFUNCTION("""COMPUTED_VALUE"""),45177.0)</f>
        <v>45177</v>
      </c>
      <c r="K470" s="19" t="str">
        <f>IFERROR(__xludf.DUMMYFUNCTION("""COMPUTED_VALUE"""),"Asignada")</f>
        <v>Asignada</v>
      </c>
      <c r="L470" s="20">
        <f>IFERROR(__xludf.DUMMYFUNCTION("""COMPUTED_VALUE"""),45212.0)</f>
        <v>45212</v>
      </c>
      <c r="M470" s="19" t="str">
        <f>IFERROR(__xludf.DUMMYFUNCTION("""COMPUTED_VALUE"""),"PP")</f>
        <v>PP</v>
      </c>
      <c r="N470" s="19" t="str">
        <f>IFERROR(__xludf.DUMMYFUNCTION("""COMPUTED_VALUE"""),"PRIORIDAD 1 Q3 2023 OCTUBRE")</f>
        <v>PRIORIDAD 1 Q3 2023 OCTUBRE</v>
      </c>
    </row>
    <row r="471" ht="15.75" customHeight="1">
      <c r="A471" s="19" t="str">
        <f>IFERROR(__xludf.DUMMYFUNCTION("""COMPUTED_VALUE"""),"AB_6573")</f>
        <v>AB_6573</v>
      </c>
      <c r="B471" s="19" t="str">
        <f>IFERROR(__xludf.DUMMYFUNCTION("""COMPUTED_VALUE"""),"AB_6573_B")</f>
        <v>AB_6573_B</v>
      </c>
      <c r="C471" s="19" t="str">
        <f>IFERROR(__xludf.DUMMYFUNCTION("""COMPUTED_VALUE"""),"LL6573")</f>
        <v>LL6573</v>
      </c>
      <c r="D471" s="19" t="str">
        <f>IFERROR(__xludf.DUMMYFUNCTION("""COMPUTED_VALUE"""),"Ralun")</f>
        <v>Ralun</v>
      </c>
      <c r="E471" s="19" t="str">
        <f>IFERROR(__xludf.DUMMYFUNCTION("""COMPUTED_VALUE"""),"SITIO RFI")</f>
        <v>SITIO RFI</v>
      </c>
      <c r="F471" s="19" t="str">
        <f>IFERROR(__xludf.DUMMYFUNCTION("""COMPUTED_VALUE"""),"RFI")</f>
        <v>RFI</v>
      </c>
      <c r="G471" s="19" t="str">
        <f>IFERROR(__xludf.DUMMYFUNCTION("""COMPUTED_VALUE"""),"AS60")</f>
        <v>AS60</v>
      </c>
      <c r="H471" s="19" t="str">
        <f>IFERROR(__xludf.DUMMYFUNCTION("""COMPUTED_VALUE"""),"MER")</f>
        <v>MER</v>
      </c>
      <c r="I471" s="19" t="str">
        <f>IFERROR(__xludf.DUMMYFUNCTION("""COMPUTED_VALUE"""),"Entregada")</f>
        <v>Entregada</v>
      </c>
      <c r="J471" s="20">
        <f>IFERROR(__xludf.DUMMYFUNCTION("""COMPUTED_VALUE"""),44881.0)</f>
        <v>44881</v>
      </c>
      <c r="K471" s="19" t="str">
        <f>IFERROR(__xludf.DUMMYFUNCTION("""COMPUTED_VALUE"""),"Entregada")</f>
        <v>Entregada</v>
      </c>
      <c r="L471" s="20">
        <f>IFERROR(__xludf.DUMMYFUNCTION("""COMPUTED_VALUE"""),44897.0)</f>
        <v>44897</v>
      </c>
      <c r="M471" s="19" t="str">
        <f>IFERROR(__xludf.DUMMYFUNCTION("""COMPUTED_VALUE"""),"PP")</f>
        <v>PP</v>
      </c>
      <c r="N471" s="19" t="str">
        <f>IFERROR(__xludf.DUMMYFUNCTION("""COMPUTED_VALUE"""),"PRIORIDAD 1 Q3 2023 OCTUBRE")</f>
        <v>PRIORIDAD 1 Q3 2023 OCTUBRE</v>
      </c>
    </row>
    <row r="472" ht="15.75" customHeight="1">
      <c r="A472" s="19" t="str">
        <f>IFERROR(__xludf.DUMMYFUNCTION("""COMPUTED_VALUE"""),"AB_9795")</f>
        <v>AB_9795</v>
      </c>
      <c r="B472" s="19" t="str">
        <f>IFERROR(__xludf.DUMMYFUNCTION("""COMPUTED_VALUE"""),"AB_9795_E")</f>
        <v>AB_9795_E</v>
      </c>
      <c r="C472" s="19" t="str">
        <f>IFERROR(__xludf.DUMMYFUNCTION("""COMPUTED_VALUE"""),"CO9795")</f>
        <v>CO9795</v>
      </c>
      <c r="D472" s="19" t="str">
        <f>IFERROR(__xludf.DUMMYFUNCTION("""COMPUTED_VALUE"""),"Quebrada de Carcamo")</f>
        <v>Quebrada de Carcamo</v>
      </c>
      <c r="E472" s="19" t="str">
        <f>IFERROR(__xludf.DUMMYFUNCTION("""COMPUTED_VALUE"""),"SITIO CONSTRUIDO")</f>
        <v>SITIO CONSTRUIDO</v>
      </c>
      <c r="F472" s="19"/>
      <c r="G472" s="19" t="str">
        <f>IFERROR(__xludf.DUMMYFUNCTION("""COMPUTED_VALUE"""),"CV48")</f>
        <v>CV48</v>
      </c>
      <c r="H472" s="19" t="str">
        <f>IFERROR(__xludf.DUMMYFUNCTION("""COMPUTED_VALUE"""),"MER")</f>
        <v>MER</v>
      </c>
      <c r="I472" s="19" t="str">
        <f>IFERROR(__xludf.DUMMYFUNCTION("""COMPUTED_VALUE"""),"Terminada")</f>
        <v>Terminada</v>
      </c>
      <c r="J472" s="20">
        <f>IFERROR(__xludf.DUMMYFUNCTION("""COMPUTED_VALUE"""),45051.0)</f>
        <v>45051</v>
      </c>
      <c r="K472" s="19" t="str">
        <f>IFERROR(__xludf.DUMMYFUNCTION("""COMPUTED_VALUE"""),"Por pintar ")</f>
        <v>Por pintar </v>
      </c>
      <c r="L472" s="20">
        <f>IFERROR(__xludf.DUMMYFUNCTION("""COMPUTED_VALUE"""),45054.0)</f>
        <v>45054</v>
      </c>
      <c r="M472" s="19" t="str">
        <f>IFERROR(__xludf.DUMMYFUNCTION("""COMPUTED_VALUE"""),"LLOO")</f>
        <v>LLOO</v>
      </c>
      <c r="N472" s="19" t="str">
        <f>IFERROR(__xludf.DUMMYFUNCTION("""COMPUTED_VALUE"""),"PRIORIDAD 1 Q3 2023 OCTUBRE")</f>
        <v>PRIORIDAD 1 Q3 2023 OCTUBRE</v>
      </c>
    </row>
    <row r="473" ht="15.75" customHeight="1">
      <c r="A473" s="19" t="str">
        <f>IFERROR(__xludf.DUMMYFUNCTION("""COMPUTED_VALUE"""),"AB_8142")</f>
        <v>AB_8142</v>
      </c>
      <c r="B473" s="19" t="str">
        <f>IFERROR(__xludf.DUMMYFUNCTION("""COMPUTED_VALUE"""),"AB_8142_A")</f>
        <v>AB_8142_A</v>
      </c>
      <c r="C473" s="19" t="str">
        <f>IFERROR(__xludf.DUMMYFUNCTION("""COMPUTED_VALUE"""),"LL8142")</f>
        <v>LL8142</v>
      </c>
      <c r="D473" s="19" t="str">
        <f>IFERROR(__xludf.DUMMYFUNCTION("""COMPUTED_VALUE"""),"Chequian")</f>
        <v>Chequian</v>
      </c>
      <c r="E473" s="19" t="str">
        <f>IFERROR(__xludf.DUMMYFUNCTION("""COMPUTED_VALUE"""),"SITIO RFI")</f>
        <v>SITIO RFI</v>
      </c>
      <c r="F473" s="19" t="str">
        <f>IFERROR(__xludf.DUMMYFUNCTION("""COMPUTED_VALUE"""),"RFI")</f>
        <v>RFI</v>
      </c>
      <c r="G473" s="19" t="str">
        <f>IFERROR(__xludf.DUMMYFUNCTION("""COMPUTED_VALUE"""),"AS60")</f>
        <v>AS60</v>
      </c>
      <c r="H473" s="19" t="str">
        <f>IFERROR(__xludf.DUMMYFUNCTION("""COMPUTED_VALUE"""),"AJ")</f>
        <v>AJ</v>
      </c>
      <c r="I473" s="19" t="str">
        <f>IFERROR(__xludf.DUMMYFUNCTION("""COMPUTED_VALUE"""),"Entregada")</f>
        <v>Entregada</v>
      </c>
      <c r="J473" s="20">
        <f>IFERROR(__xludf.DUMMYFUNCTION("""COMPUTED_VALUE"""),44636.0)</f>
        <v>44636</v>
      </c>
      <c r="K473" s="19" t="str">
        <f>IFERROR(__xludf.DUMMYFUNCTION("""COMPUTED_VALUE"""),"Entregada")</f>
        <v>Entregada</v>
      </c>
      <c r="L473" s="20">
        <f>IFERROR(__xludf.DUMMYFUNCTION("""COMPUTED_VALUE"""),44691.0)</f>
        <v>44691</v>
      </c>
      <c r="M473" s="19" t="str">
        <f>IFERROR(__xludf.DUMMYFUNCTION("""COMPUTED_VALUE"""),"PCM")</f>
        <v>PCM</v>
      </c>
      <c r="N473" s="19" t="str">
        <f>IFERROR(__xludf.DUMMYFUNCTION("""COMPUTED_VALUE"""),"PRIORIDAD 1 Q3 2023 OCTUBRE")</f>
        <v>PRIORIDAD 1 Q3 2023 OCTUBRE</v>
      </c>
    </row>
    <row r="474" ht="15.75" customHeight="1">
      <c r="A474" s="19" t="str">
        <f>IFERROR(__xludf.DUMMYFUNCTION("""COMPUTED_VALUE"""),"AB_8568")</f>
        <v>AB_8568</v>
      </c>
      <c r="B474" s="19" t="str">
        <f>IFERROR(__xludf.DUMMYFUNCTION("""COMPUTED_VALUE"""),"AB_8568_B")</f>
        <v>AB_8568_B</v>
      </c>
      <c r="C474" s="19" t="str">
        <f>IFERROR(__xludf.DUMMYFUNCTION("""COMPUTED_VALUE"""),"LL8568")</f>
        <v>LL8568</v>
      </c>
      <c r="D474" s="19" t="str">
        <f>IFERROR(__xludf.DUMMYFUNCTION("""COMPUTED_VALUE"""),"NUEVA BRAUNAU RU")</f>
        <v>NUEVA BRAUNAU RU</v>
      </c>
      <c r="E474" s="19" t="str">
        <f>IFERROR(__xludf.DUMMYFUNCTION("""COMPUTED_VALUE"""),"SITIO RFI")</f>
        <v>SITIO RFI</v>
      </c>
      <c r="F474" s="19" t="str">
        <f>IFERROR(__xludf.DUMMYFUNCTION("""COMPUTED_VALUE"""),"RFI")</f>
        <v>RFI</v>
      </c>
      <c r="G474" s="19" t="str">
        <f>IFERROR(__xludf.DUMMYFUNCTION("""COMPUTED_VALUE"""),"AS48")</f>
        <v>AS48</v>
      </c>
      <c r="H474" s="19" t="str">
        <f>IFERROR(__xludf.DUMMYFUNCTION("""COMPUTED_VALUE"""),"MARJOS")</f>
        <v>MARJOS</v>
      </c>
      <c r="I474" s="19" t="str">
        <f>IFERROR(__xludf.DUMMYFUNCTION("""COMPUTED_VALUE"""),"Entregada")</f>
        <v>Entregada</v>
      </c>
      <c r="J474" s="20">
        <f>IFERROR(__xludf.DUMMYFUNCTION("""COMPUTED_VALUE"""),44588.0)</f>
        <v>44588</v>
      </c>
      <c r="K474" s="19" t="str">
        <f>IFERROR(__xludf.DUMMYFUNCTION("""COMPUTED_VALUE"""),"Entregada")</f>
        <v>Entregada</v>
      </c>
      <c r="L474" s="20">
        <f>IFERROR(__xludf.DUMMYFUNCTION("""COMPUTED_VALUE"""),44545.0)</f>
        <v>44545</v>
      </c>
      <c r="M474" s="19" t="str">
        <f>IFERROR(__xludf.DUMMYFUNCTION("""COMPUTED_VALUE"""),"PCM")</f>
        <v>PCM</v>
      </c>
      <c r="N474" s="19" t="str">
        <f>IFERROR(__xludf.DUMMYFUNCTION("""COMPUTED_VALUE"""),"PRIORIDAD 1 Q3 2023 OCTUBRE")</f>
        <v>PRIORIDAD 1 Q3 2023 OCTUBRE</v>
      </c>
    </row>
    <row r="475" ht="15.75" customHeight="1">
      <c r="A475" s="19" t="str">
        <f>IFERROR(__xludf.DUMMYFUNCTION("""COMPUTED_VALUE"""),"AB_9067")</f>
        <v>AB_9067</v>
      </c>
      <c r="B475" s="19" t="str">
        <f>IFERROR(__xludf.DUMMYFUNCTION("""COMPUTED_VALUE"""),"AB_9067_A")</f>
        <v>AB_9067_A</v>
      </c>
      <c r="C475" s="19" t="str">
        <f>IFERROR(__xludf.DUMMYFUNCTION("""COMPUTED_VALUE"""),"LL9067")</f>
        <v>LL9067</v>
      </c>
      <c r="D475" s="19" t="str">
        <f>IFERROR(__xludf.DUMMYFUNCTION("""COMPUTED_VALUE"""),"Ruta V-875")</f>
        <v>Ruta V-875</v>
      </c>
      <c r="E475" s="19" t="str">
        <f>IFERROR(__xludf.DUMMYFUNCTION("""COMPUTED_VALUE"""),"SITIO RFI")</f>
        <v>SITIO RFI</v>
      </c>
      <c r="F475" s="19" t="str">
        <f>IFERROR(__xludf.DUMMYFUNCTION("""COMPUTED_VALUE"""),"RFI")</f>
        <v>RFI</v>
      </c>
      <c r="G475" s="19" t="str">
        <f>IFERROR(__xludf.DUMMYFUNCTION("""COMPUTED_VALUE"""),"CV48")</f>
        <v>CV48</v>
      </c>
      <c r="H475" s="19" t="str">
        <f>IFERROR(__xludf.DUMMYFUNCTION("""COMPUTED_VALUE"""),"ADM")</f>
        <v>ADM</v>
      </c>
      <c r="I475" s="19" t="str">
        <f>IFERROR(__xludf.DUMMYFUNCTION("""COMPUTED_VALUE"""),"Entregada")</f>
        <v>Entregada</v>
      </c>
      <c r="J475" s="20">
        <f>IFERROR(__xludf.DUMMYFUNCTION("""COMPUTED_VALUE"""),44736.0)</f>
        <v>44736</v>
      </c>
      <c r="K475" s="19" t="str">
        <f>IFERROR(__xludf.DUMMYFUNCTION("""COMPUTED_VALUE"""),"Entregada")</f>
        <v>Entregada</v>
      </c>
      <c r="L475" s="20">
        <f>IFERROR(__xludf.DUMMYFUNCTION("""COMPUTED_VALUE"""),44771.0)</f>
        <v>44771</v>
      </c>
      <c r="M475" s="19" t="str">
        <f>IFERROR(__xludf.DUMMYFUNCTION("""COMPUTED_VALUE"""),"PCM")</f>
        <v>PCM</v>
      </c>
      <c r="N475" s="19" t="str">
        <f>IFERROR(__xludf.DUMMYFUNCTION("""COMPUTED_VALUE"""),"PRIORIDAD 1 Q3 2023 OCTUBRE")</f>
        <v>PRIORIDAD 1 Q3 2023 OCTUBRE</v>
      </c>
    </row>
    <row r="476" ht="15.75" customHeight="1">
      <c r="A476" s="19" t="str">
        <f>IFERROR(__xludf.DUMMYFUNCTION("""COMPUTED_VALUE"""),"AB_9079")</f>
        <v>AB_9079</v>
      </c>
      <c r="B476" s="19" t="str">
        <f>IFERROR(__xludf.DUMMYFUNCTION("""COMPUTED_VALUE"""),"AB_9079_A")</f>
        <v>AB_9079_A</v>
      </c>
      <c r="C476" s="19" t="str">
        <f>IFERROR(__xludf.DUMMYFUNCTION("""COMPUTED_VALUE"""),"LL9079")</f>
        <v>LL9079</v>
      </c>
      <c r="D476" s="19" t="str">
        <f>IFERROR(__xludf.DUMMYFUNCTION("""COMPUTED_VALUE"""),"Río Frío - Cañitas")</f>
        <v>Río Frío - Cañitas</v>
      </c>
      <c r="E476" s="19" t="str">
        <f>IFERROR(__xludf.DUMMYFUNCTION("""COMPUTED_VALUE"""),"SITIO RFI")</f>
        <v>SITIO RFI</v>
      </c>
      <c r="F476" s="19" t="str">
        <f>IFERROR(__xludf.DUMMYFUNCTION("""COMPUTED_VALUE"""),"RFI")</f>
        <v>RFI</v>
      </c>
      <c r="G476" s="19" t="str">
        <f>IFERROR(__xludf.DUMMYFUNCTION("""COMPUTED_VALUE"""),"AS60")</f>
        <v>AS60</v>
      </c>
      <c r="H476" s="19" t="str">
        <f>IFERROR(__xludf.DUMMYFUNCTION("""COMPUTED_VALUE"""),"MER")</f>
        <v>MER</v>
      </c>
      <c r="I476" s="19" t="str">
        <f>IFERROR(__xludf.DUMMYFUNCTION("""COMPUTED_VALUE"""),"Entregada")</f>
        <v>Entregada</v>
      </c>
      <c r="J476" s="20">
        <f>IFERROR(__xludf.DUMMYFUNCTION("""COMPUTED_VALUE"""),44532.0)</f>
        <v>44532</v>
      </c>
      <c r="K476" s="19" t="str">
        <f>IFERROR(__xludf.DUMMYFUNCTION("""COMPUTED_VALUE"""),"Entregada")</f>
        <v>Entregada</v>
      </c>
      <c r="L476" s="20">
        <f>IFERROR(__xludf.DUMMYFUNCTION("""COMPUTED_VALUE"""),44530.0)</f>
        <v>44530</v>
      </c>
      <c r="M476" s="19" t="str">
        <f>IFERROR(__xludf.DUMMYFUNCTION("""COMPUTED_VALUE"""),"PCM")</f>
        <v>PCM</v>
      </c>
      <c r="N476" s="19" t="str">
        <f>IFERROR(__xludf.DUMMYFUNCTION("""COMPUTED_VALUE"""),"PRIORIDAD 1 Q3 2023 OCTUBRE")</f>
        <v>PRIORIDAD 1 Q3 2023 OCTUBRE</v>
      </c>
    </row>
    <row r="477" ht="15.75" customHeight="1">
      <c r="A477" s="19" t="str">
        <f>IFERROR(__xludf.DUMMYFUNCTION("""COMPUTED_VALUE"""),"AB_9386")</f>
        <v>AB_9386</v>
      </c>
      <c r="B477" s="19" t="str">
        <f>IFERROR(__xludf.DUMMYFUNCTION("""COMPUTED_VALUE"""),"AB_9386_A")</f>
        <v>AB_9386_A</v>
      </c>
      <c r="C477" s="19" t="str">
        <f>IFERROR(__xludf.DUMMYFUNCTION("""COMPUTED_VALUE"""),"LL9386")</f>
        <v>LL9386</v>
      </c>
      <c r="D477" s="19" t="str">
        <f>IFERROR(__xludf.DUMMYFUNCTION("""COMPUTED_VALUE"""),"San Pablo Hospital - Quilacahuin")</f>
        <v>San Pablo Hospital - Quilacahuin</v>
      </c>
      <c r="E477" s="19" t="str">
        <f>IFERROR(__xludf.DUMMYFUNCTION("""COMPUTED_VALUE"""),"SITIO RFI")</f>
        <v>SITIO RFI</v>
      </c>
      <c r="F477" s="19" t="str">
        <f>IFERROR(__xludf.DUMMYFUNCTION("""COMPUTED_VALUE"""),"RFI")</f>
        <v>RFI</v>
      </c>
      <c r="G477" s="19" t="str">
        <f>IFERROR(__xludf.DUMMYFUNCTION("""COMPUTED_VALUE"""),"AS54")</f>
        <v>AS54</v>
      </c>
      <c r="H477" s="19" t="str">
        <f>IFERROR(__xludf.DUMMYFUNCTION("""COMPUTED_VALUE"""),"AJ")</f>
        <v>AJ</v>
      </c>
      <c r="I477" s="19" t="str">
        <f>IFERROR(__xludf.DUMMYFUNCTION("""COMPUTED_VALUE"""),"Entregada")</f>
        <v>Entregada</v>
      </c>
      <c r="J477" s="20">
        <f>IFERROR(__xludf.DUMMYFUNCTION("""COMPUTED_VALUE"""),44543.0)</f>
        <v>44543</v>
      </c>
      <c r="K477" s="19" t="str">
        <f>IFERROR(__xludf.DUMMYFUNCTION("""COMPUTED_VALUE"""),"Entregada")</f>
        <v>Entregada</v>
      </c>
      <c r="L477" s="20">
        <f>IFERROR(__xludf.DUMMYFUNCTION("""COMPUTED_VALUE"""),44533.0)</f>
        <v>44533</v>
      </c>
      <c r="M477" s="19" t="str">
        <f>IFERROR(__xludf.DUMMYFUNCTION("""COMPUTED_VALUE"""),"PCM")</f>
        <v>PCM</v>
      </c>
      <c r="N477" s="19" t="str">
        <f>IFERROR(__xludf.DUMMYFUNCTION("""COMPUTED_VALUE"""),"PRIORIDAD 1 Q3 2023 OCTUBRE")</f>
        <v>PRIORIDAD 1 Q3 2023 OCTUBRE</v>
      </c>
    </row>
    <row r="478" ht="15.75" customHeight="1">
      <c r="A478" s="19" t="str">
        <f>IFERROR(__xludf.DUMMYFUNCTION("""COMPUTED_VALUE"""),"AB_9407")</f>
        <v>AB_9407</v>
      </c>
      <c r="B478" s="19" t="str">
        <f>IFERROR(__xludf.DUMMYFUNCTION("""COMPUTED_VALUE"""),"AB_9407_B")</f>
        <v>AB_9407_B</v>
      </c>
      <c r="C478" s="19" t="str">
        <f>IFERROR(__xludf.DUMMYFUNCTION("""COMPUTED_VALUE"""),"LL9407")</f>
        <v>LL9407</v>
      </c>
      <c r="D478" s="19" t="str">
        <f>IFERROR(__xludf.DUMMYFUNCTION("""COMPUTED_VALUE"""),"Mision San Juan de la Costa")</f>
        <v>Mision San Juan de la Costa</v>
      </c>
      <c r="E478" s="19" t="str">
        <f>IFERROR(__xludf.DUMMYFUNCTION("""COMPUTED_VALUE"""),"SITIO RFI")</f>
        <v>SITIO RFI</v>
      </c>
      <c r="F478" s="19" t="str">
        <f>IFERROR(__xludf.DUMMYFUNCTION("""COMPUTED_VALUE"""),"RFI")</f>
        <v>RFI</v>
      </c>
      <c r="G478" s="19" t="str">
        <f>IFERROR(__xludf.DUMMYFUNCTION("""COMPUTED_VALUE"""),"AS60")</f>
        <v>AS60</v>
      </c>
      <c r="H478" s="19" t="str">
        <f>IFERROR(__xludf.DUMMYFUNCTION("""COMPUTED_VALUE"""),"MER")</f>
        <v>MER</v>
      </c>
      <c r="I478" s="19" t="str">
        <f>IFERROR(__xludf.DUMMYFUNCTION("""COMPUTED_VALUE"""),"Entregada")</f>
        <v>Entregada</v>
      </c>
      <c r="J478" s="20">
        <f>IFERROR(__xludf.DUMMYFUNCTION("""COMPUTED_VALUE"""),44662.0)</f>
        <v>44662</v>
      </c>
      <c r="K478" s="19" t="str">
        <f>IFERROR(__xludf.DUMMYFUNCTION("""COMPUTED_VALUE"""),"Entregada")</f>
        <v>Entregada</v>
      </c>
      <c r="L478" s="20">
        <f>IFERROR(__xludf.DUMMYFUNCTION("""COMPUTED_VALUE"""),44673.0)</f>
        <v>44673</v>
      </c>
      <c r="M478" s="19" t="str">
        <f>IFERROR(__xludf.DUMMYFUNCTION("""COMPUTED_VALUE"""),"PCM")</f>
        <v>PCM</v>
      </c>
      <c r="N478" s="19" t="str">
        <f>IFERROR(__xludf.DUMMYFUNCTION("""COMPUTED_VALUE"""),"PRIORIDAD 1 Q3 2023 OCTUBRE")</f>
        <v>PRIORIDAD 1 Q3 2023 OCTUBRE</v>
      </c>
    </row>
    <row r="479" ht="15.75" customHeight="1">
      <c r="A479" s="19" t="str">
        <f>IFERROR(__xludf.DUMMYFUNCTION("""COMPUTED_VALUE"""),"AB_9427")</f>
        <v>AB_9427</v>
      </c>
      <c r="B479" s="19" t="str">
        <f>IFERROR(__xludf.DUMMYFUNCTION("""COMPUTED_VALUE"""),"AB_9427_C")</f>
        <v>AB_9427_C</v>
      </c>
      <c r="C479" s="19" t="str">
        <f>IFERROR(__xludf.DUMMYFUNCTION("""COMPUTED_VALUE"""),"LL9427")</f>
        <v>LL9427</v>
      </c>
      <c r="D479" s="19" t="str">
        <f>IFERROR(__xludf.DUMMYFUNCTION("""COMPUTED_VALUE"""),"Isla Lemuy")</f>
        <v>Isla Lemuy</v>
      </c>
      <c r="E479" s="19" t="str">
        <f>IFERROR(__xludf.DUMMYFUNCTION("""COMPUTED_VALUE"""),"SITIO RFI")</f>
        <v>SITIO RFI</v>
      </c>
      <c r="F479" s="19" t="str">
        <f>IFERROR(__xludf.DUMMYFUNCTION("""COMPUTED_VALUE"""),"MONTAJE")</f>
        <v>MONTAJE</v>
      </c>
      <c r="G479" s="19" t="str">
        <f>IFERROR(__xludf.DUMMYFUNCTION("""COMPUTED_VALUE"""),"AS42")</f>
        <v>AS42</v>
      </c>
      <c r="H479" s="19" t="str">
        <f>IFERROR(__xludf.DUMMYFUNCTION("""COMPUTED_VALUE"""),"MER")</f>
        <v>MER</v>
      </c>
      <c r="I479" s="19" t="str">
        <f>IFERROR(__xludf.DUMMYFUNCTION("""COMPUTED_VALUE"""),"Entregada")</f>
        <v>Entregada</v>
      </c>
      <c r="J479" s="20">
        <f>IFERROR(__xludf.DUMMYFUNCTION("""COMPUTED_VALUE"""),44755.0)</f>
        <v>44755</v>
      </c>
      <c r="K479" s="19" t="str">
        <f>IFERROR(__xludf.DUMMYFUNCTION("""COMPUTED_VALUE"""),"Entregada")</f>
        <v>Entregada</v>
      </c>
      <c r="L479" s="20">
        <f>IFERROR(__xludf.DUMMYFUNCTION("""COMPUTED_VALUE"""),44797.0)</f>
        <v>44797</v>
      </c>
      <c r="M479" s="19" t="str">
        <f>IFERROR(__xludf.DUMMYFUNCTION("""COMPUTED_VALUE"""),"PCM")</f>
        <v>PCM</v>
      </c>
      <c r="N479" s="19" t="str">
        <f>IFERROR(__xludf.DUMMYFUNCTION("""COMPUTED_VALUE"""),"PRIORIDAD 1 Q3 2023 OCTUBRE")</f>
        <v>PRIORIDAD 1 Q3 2023 OCTUBRE</v>
      </c>
    </row>
    <row r="480" ht="15.75" customHeight="1">
      <c r="A480" s="19" t="str">
        <f>IFERROR(__xludf.DUMMYFUNCTION("""COMPUTED_VALUE"""),"AB_9428")</f>
        <v>AB_9428</v>
      </c>
      <c r="B480" s="19" t="str">
        <f>IFERROR(__xludf.DUMMYFUNCTION("""COMPUTED_VALUE"""),"AB_9428_H")</f>
        <v>AB_9428_H</v>
      </c>
      <c r="C480" s="19" t="str">
        <f>IFERROR(__xludf.DUMMYFUNCTION("""COMPUTED_VALUE"""),"LL9428")</f>
        <v>LL9428</v>
      </c>
      <c r="D480" s="19" t="str">
        <f>IFERROR(__xludf.DUMMYFUNCTION("""COMPUTED_VALUE"""),"Ruta 5 Remehue")</f>
        <v>Ruta 5 Remehue</v>
      </c>
      <c r="E480" s="19" t="str">
        <f>IFERROR(__xludf.DUMMYFUNCTION("""COMPUTED_VALUE"""),"SITIO RFI")</f>
        <v>SITIO RFI</v>
      </c>
      <c r="F480" s="19" t="str">
        <f>IFERROR(__xludf.DUMMYFUNCTION("""COMPUTED_VALUE"""),"RFI")</f>
        <v>RFI</v>
      </c>
      <c r="G480" s="19" t="str">
        <f>IFERROR(__xludf.DUMMYFUNCTION("""COMPUTED_VALUE"""),"AS60")</f>
        <v>AS60</v>
      </c>
      <c r="H480" s="19" t="str">
        <f>IFERROR(__xludf.DUMMYFUNCTION("""COMPUTED_VALUE"""),"MER")</f>
        <v>MER</v>
      </c>
      <c r="I480" s="19" t="str">
        <f>IFERROR(__xludf.DUMMYFUNCTION("""COMPUTED_VALUE"""),"Entregada")</f>
        <v>Entregada</v>
      </c>
      <c r="J480" s="20">
        <f>IFERROR(__xludf.DUMMYFUNCTION("""COMPUTED_VALUE"""),44862.0)</f>
        <v>44862</v>
      </c>
      <c r="K480" s="19" t="str">
        <f>IFERROR(__xludf.DUMMYFUNCTION("""COMPUTED_VALUE"""),"Entregada")</f>
        <v>Entregada</v>
      </c>
      <c r="L480" s="20">
        <f>IFERROR(__xludf.DUMMYFUNCTION("""COMPUTED_VALUE"""),44869.0)</f>
        <v>44869</v>
      </c>
      <c r="M480" s="19" t="str">
        <f>IFERROR(__xludf.DUMMYFUNCTION("""COMPUTED_VALUE"""),"PP")</f>
        <v>PP</v>
      </c>
      <c r="N480" s="19" t="str">
        <f>IFERROR(__xludf.DUMMYFUNCTION("""COMPUTED_VALUE"""),"PRIORIDAD 1 Q3 2023 OCTUBRE")</f>
        <v>PRIORIDAD 1 Q3 2023 OCTUBRE</v>
      </c>
    </row>
    <row r="481" ht="15.75" customHeight="1">
      <c r="A481" s="19" t="str">
        <f>IFERROR(__xludf.DUMMYFUNCTION("""COMPUTED_VALUE"""),"AB_9430")</f>
        <v>AB_9430</v>
      </c>
      <c r="B481" s="19" t="str">
        <f>IFERROR(__xludf.DUMMYFUNCTION("""COMPUTED_VALUE"""),"AB_9430_B")</f>
        <v>AB_9430_B</v>
      </c>
      <c r="C481" s="19" t="str">
        <f>IFERROR(__xludf.DUMMYFUNCTION("""COMPUTED_VALUE"""),"LL9430")</f>
        <v>LL9430</v>
      </c>
      <c r="D481" s="19" t="str">
        <f>IFERROR(__xludf.DUMMYFUNCTION("""COMPUTED_VALUE"""),"Ruta 5 Regimiento Sangra")</f>
        <v>Ruta 5 Regimiento Sangra</v>
      </c>
      <c r="E481" s="19" t="str">
        <f>IFERROR(__xludf.DUMMYFUNCTION("""COMPUTED_VALUE"""),"SITIO RFI")</f>
        <v>SITIO RFI</v>
      </c>
      <c r="F481" s="19" t="str">
        <f>IFERROR(__xludf.DUMMYFUNCTION("""COMPUTED_VALUE"""),"RFI")</f>
        <v>RFI</v>
      </c>
      <c r="G481" s="19" t="str">
        <f>IFERROR(__xludf.DUMMYFUNCTION("""COMPUTED_VALUE"""),"MP42")</f>
        <v>MP42</v>
      </c>
      <c r="H481" s="19" t="str">
        <f>IFERROR(__xludf.DUMMYFUNCTION("""COMPUTED_VALUE"""),"MER")</f>
        <v>MER</v>
      </c>
      <c r="I481" s="19" t="str">
        <f>IFERROR(__xludf.DUMMYFUNCTION("""COMPUTED_VALUE"""),"Entregada")</f>
        <v>Entregada</v>
      </c>
      <c r="J481" s="20">
        <f>IFERROR(__xludf.DUMMYFUNCTION("""COMPUTED_VALUE"""),44729.0)</f>
        <v>44729</v>
      </c>
      <c r="K481" s="19" t="str">
        <f>IFERROR(__xludf.DUMMYFUNCTION("""COMPUTED_VALUE"""),"Entregada")</f>
        <v>Entregada</v>
      </c>
      <c r="L481" s="20">
        <f>IFERROR(__xludf.DUMMYFUNCTION("""COMPUTED_VALUE"""),44736.0)</f>
        <v>44736</v>
      </c>
      <c r="M481" s="19" t="str">
        <f>IFERROR(__xludf.DUMMYFUNCTION("""COMPUTED_VALUE"""),"PP")</f>
        <v>PP</v>
      </c>
      <c r="N481" s="19" t="str">
        <f>IFERROR(__xludf.DUMMYFUNCTION("""COMPUTED_VALUE"""),"PRIORIDAD 1 Q3 2023 OCTUBRE")</f>
        <v>PRIORIDAD 1 Q3 2023 OCTUBRE</v>
      </c>
    </row>
    <row r="482" ht="15.75" customHeight="1">
      <c r="A482" s="19" t="str">
        <f>IFERROR(__xludf.DUMMYFUNCTION("""COMPUTED_VALUE"""),"AB_9431")</f>
        <v>AB_9431</v>
      </c>
      <c r="B482" s="19" t="str">
        <f>IFERROR(__xludf.DUMMYFUNCTION("""COMPUTED_VALUE"""),"AB_9431_D")</f>
        <v>AB_9431_D</v>
      </c>
      <c r="C482" s="19" t="str">
        <f>IFERROR(__xludf.DUMMYFUNCTION("""COMPUTED_VALUE"""),"LL9431")</f>
        <v>LL9431</v>
      </c>
      <c r="D482" s="19" t="str">
        <f>IFERROR(__xludf.DUMMYFUNCTION("""COMPUTED_VALUE"""),"Ruta 5 Rio Tambor")</f>
        <v>Ruta 5 Rio Tambor</v>
      </c>
      <c r="E482" s="19" t="str">
        <f>IFERROR(__xludf.DUMMYFUNCTION("""COMPUTED_VALUE"""),"SITIO RFI")</f>
        <v>SITIO RFI</v>
      </c>
      <c r="F482" s="19" t="str">
        <f>IFERROR(__xludf.DUMMYFUNCTION("""COMPUTED_VALUE"""),"RFI")</f>
        <v>RFI</v>
      </c>
      <c r="G482" s="19" t="str">
        <f>IFERROR(__xludf.DUMMYFUNCTION("""COMPUTED_VALUE"""),"AS60")</f>
        <v>AS60</v>
      </c>
      <c r="H482" s="19" t="str">
        <f>IFERROR(__xludf.DUMMYFUNCTION("""COMPUTED_VALUE"""),"MER")</f>
        <v>MER</v>
      </c>
      <c r="I482" s="19" t="str">
        <f>IFERROR(__xludf.DUMMYFUNCTION("""COMPUTED_VALUE"""),"Entregada")</f>
        <v>Entregada</v>
      </c>
      <c r="J482" s="20">
        <f>IFERROR(__xludf.DUMMYFUNCTION("""COMPUTED_VALUE"""),44881.0)</f>
        <v>44881</v>
      </c>
      <c r="K482" s="19" t="str">
        <f>IFERROR(__xludf.DUMMYFUNCTION("""COMPUTED_VALUE"""),"Entregada")</f>
        <v>Entregada</v>
      </c>
      <c r="L482" s="20">
        <f>IFERROR(__xludf.DUMMYFUNCTION("""COMPUTED_VALUE"""),44897.0)</f>
        <v>44897</v>
      </c>
      <c r="M482" s="19" t="str">
        <f>IFERROR(__xludf.DUMMYFUNCTION("""COMPUTED_VALUE"""),"PP")</f>
        <v>PP</v>
      </c>
      <c r="N482" s="19" t="str">
        <f>IFERROR(__xludf.DUMMYFUNCTION("""COMPUTED_VALUE"""),"PRIORIDAD 1 Q3 2023 OCTUBRE")</f>
        <v>PRIORIDAD 1 Q3 2023 OCTUBRE</v>
      </c>
    </row>
    <row r="483" ht="15.75" customHeight="1">
      <c r="A483" s="19" t="str">
        <f>IFERROR(__xludf.DUMMYFUNCTION("""COMPUTED_VALUE"""),"AB_9437")</f>
        <v>AB_9437</v>
      </c>
      <c r="B483" s="19" t="str">
        <f>IFERROR(__xludf.DUMMYFUNCTION("""COMPUTED_VALUE"""),"AB_9437_A")</f>
        <v>AB_9437_A</v>
      </c>
      <c r="C483" s="19" t="str">
        <f>IFERROR(__xludf.DUMMYFUNCTION("""COMPUTED_VALUE"""),"LL9437")</f>
        <v>LL9437</v>
      </c>
      <c r="D483" s="19" t="str">
        <f>IFERROR(__xludf.DUMMYFUNCTION("""COMPUTED_VALUE"""),"Ruta 5 Tara")</f>
        <v>Ruta 5 Tara</v>
      </c>
      <c r="E483" s="19" t="str">
        <f>IFERROR(__xludf.DUMMYFUNCTION("""COMPUTED_VALUE"""),"SITIO RFI")</f>
        <v>SITIO RFI</v>
      </c>
      <c r="F483" s="19" t="str">
        <f>IFERROR(__xludf.DUMMYFUNCTION("""COMPUTED_VALUE"""),"RFI")</f>
        <v>RFI</v>
      </c>
      <c r="G483" s="19" t="str">
        <f>IFERROR(__xludf.DUMMYFUNCTION("""COMPUTED_VALUE"""),"AS60")</f>
        <v>AS60</v>
      </c>
      <c r="H483" s="19" t="str">
        <f>IFERROR(__xludf.DUMMYFUNCTION("""COMPUTED_VALUE"""),"MER")</f>
        <v>MER</v>
      </c>
      <c r="I483" s="19" t="str">
        <f>IFERROR(__xludf.DUMMYFUNCTION("""COMPUTED_VALUE"""),"Entregada")</f>
        <v>Entregada</v>
      </c>
      <c r="J483" s="20">
        <f>IFERROR(__xludf.DUMMYFUNCTION("""COMPUTED_VALUE"""),44635.0)</f>
        <v>44635</v>
      </c>
      <c r="K483" s="19" t="str">
        <f>IFERROR(__xludf.DUMMYFUNCTION("""COMPUTED_VALUE"""),"Entregada")</f>
        <v>Entregada</v>
      </c>
      <c r="L483" s="20">
        <f>IFERROR(__xludf.DUMMYFUNCTION("""COMPUTED_VALUE"""),44662.0)</f>
        <v>44662</v>
      </c>
      <c r="M483" s="19" t="str">
        <f>IFERROR(__xludf.DUMMYFUNCTION("""COMPUTED_VALUE"""),"PCM")</f>
        <v>PCM</v>
      </c>
      <c r="N483" s="19" t="str">
        <f>IFERROR(__xludf.DUMMYFUNCTION("""COMPUTED_VALUE"""),"PRIORIDAD 1 Q3 2023 OCTUBRE")</f>
        <v>PRIORIDAD 1 Q3 2023 OCTUBRE</v>
      </c>
    </row>
    <row r="484" ht="15.75" customHeight="1">
      <c r="A484" s="19" t="str">
        <f>IFERROR(__xludf.DUMMYFUNCTION("""COMPUTED_VALUE"""),"AB_9438")</f>
        <v>AB_9438</v>
      </c>
      <c r="B484" s="19" t="str">
        <f>IFERROR(__xludf.DUMMYFUNCTION("""COMPUTED_VALUE"""),"AB_9438_C")</f>
        <v>AB_9438_C</v>
      </c>
      <c r="C484" s="19" t="str">
        <f>IFERROR(__xludf.DUMMYFUNCTION("""COMPUTED_VALUE"""),"LL9438")</f>
        <v>LL9438</v>
      </c>
      <c r="D484" s="19" t="str">
        <f>IFERROR(__xludf.DUMMYFUNCTION("""COMPUTED_VALUE"""),"Coinco Quellon")</f>
        <v>Coinco Quellon</v>
      </c>
      <c r="E484" s="19" t="str">
        <f>IFERROR(__xludf.DUMMYFUNCTION("""COMPUTED_VALUE"""),"SITIO RFI")</f>
        <v>SITIO RFI</v>
      </c>
      <c r="F484" s="19" t="str">
        <f>IFERROR(__xludf.DUMMYFUNCTION("""COMPUTED_VALUE"""),"RFI")</f>
        <v>RFI</v>
      </c>
      <c r="G484" s="19" t="str">
        <f>IFERROR(__xludf.DUMMYFUNCTION("""COMPUTED_VALUE"""),"AS48")</f>
        <v>AS48</v>
      </c>
      <c r="H484" s="19" t="str">
        <f>IFERROR(__xludf.DUMMYFUNCTION("""COMPUTED_VALUE"""),"JTI")</f>
        <v>JTI</v>
      </c>
      <c r="I484" s="19" t="str">
        <f>IFERROR(__xludf.DUMMYFUNCTION("""COMPUTED_VALUE"""),"Entregada")</f>
        <v>Entregada</v>
      </c>
      <c r="J484" s="20">
        <f>IFERROR(__xludf.DUMMYFUNCTION("""COMPUTED_VALUE"""),45000.0)</f>
        <v>45000</v>
      </c>
      <c r="K484" s="19" t="str">
        <f>IFERROR(__xludf.DUMMYFUNCTION("""COMPUTED_VALUE"""),"Entregada")</f>
        <v>Entregada</v>
      </c>
      <c r="L484" s="20">
        <f>IFERROR(__xludf.DUMMYFUNCTION("""COMPUTED_VALUE"""),45000.0)</f>
        <v>45000</v>
      </c>
      <c r="M484" s="19" t="str">
        <f>IFERROR(__xludf.DUMMYFUNCTION("""COMPUTED_VALUE"""),"PP")</f>
        <v>PP</v>
      </c>
      <c r="N484" s="19" t="str">
        <f>IFERROR(__xludf.DUMMYFUNCTION("""COMPUTED_VALUE"""),"PRIORIDAD 1 Q3 2023 OCTUBRE")</f>
        <v>PRIORIDAD 1 Q3 2023 OCTUBRE</v>
      </c>
    </row>
    <row r="485" ht="15.75" customHeight="1">
      <c r="A485" s="19" t="str">
        <f>IFERROR(__xludf.DUMMYFUNCTION("""COMPUTED_VALUE"""),"AB_9439")</f>
        <v>AB_9439</v>
      </c>
      <c r="B485" s="19" t="str">
        <f>IFERROR(__xludf.DUMMYFUNCTION("""COMPUTED_VALUE"""),"AB_9439_A")</f>
        <v>AB_9439_A</v>
      </c>
      <c r="C485" s="19" t="str">
        <f>IFERROR(__xludf.DUMMYFUNCTION("""COMPUTED_VALUE"""),"LL9439")</f>
        <v>LL9439</v>
      </c>
      <c r="D485" s="19" t="str">
        <f>IFERROR(__xludf.DUMMYFUNCTION("""COMPUTED_VALUE"""),"Ruta V-843")</f>
        <v>Ruta V-843</v>
      </c>
      <c r="E485" s="19" t="str">
        <f>IFERROR(__xludf.DUMMYFUNCTION("""COMPUTED_VALUE"""),"SITIO RFI")</f>
        <v>SITIO RFI</v>
      </c>
      <c r="F485" s="19" t="str">
        <f>IFERROR(__xludf.DUMMYFUNCTION("""COMPUTED_VALUE"""),"RFI")</f>
        <v>RFI</v>
      </c>
      <c r="G485" s="19" t="str">
        <f>IFERROR(__xludf.DUMMYFUNCTION("""COMPUTED_VALUE"""),"CV30")</f>
        <v>CV30</v>
      </c>
      <c r="H485" s="19" t="str">
        <f>IFERROR(__xludf.DUMMYFUNCTION("""COMPUTED_VALUE"""),"SYC")</f>
        <v>SYC</v>
      </c>
      <c r="I485" s="19" t="str">
        <f>IFERROR(__xludf.DUMMYFUNCTION("""COMPUTED_VALUE"""),"Entregada")</f>
        <v>Entregada</v>
      </c>
      <c r="J485" s="20">
        <f>IFERROR(__xludf.DUMMYFUNCTION("""COMPUTED_VALUE"""),44687.0)</f>
        <v>44687</v>
      </c>
      <c r="K485" s="19" t="str">
        <f>IFERROR(__xludf.DUMMYFUNCTION("""COMPUTED_VALUE"""),"Entregada")</f>
        <v>Entregada</v>
      </c>
      <c r="L485" s="20">
        <f>IFERROR(__xludf.DUMMYFUNCTION("""COMPUTED_VALUE"""),44743.0)</f>
        <v>44743</v>
      </c>
      <c r="M485" s="19" t="str">
        <f>IFERROR(__xludf.DUMMYFUNCTION("""COMPUTED_VALUE"""),"PP")</f>
        <v>PP</v>
      </c>
      <c r="N485" s="19" t="str">
        <f>IFERROR(__xludf.DUMMYFUNCTION("""COMPUTED_VALUE"""),"PRIORIDAD 1 Q3 2023 OCTUBRE")</f>
        <v>PRIORIDAD 1 Q3 2023 OCTUBRE</v>
      </c>
    </row>
    <row r="486" ht="15.75" customHeight="1">
      <c r="A486" s="19" t="str">
        <f>IFERROR(__xludf.DUMMYFUNCTION("""COMPUTED_VALUE"""),"AB_9642")</f>
        <v>AB_9642</v>
      </c>
      <c r="B486" s="19" t="str">
        <f>IFERROR(__xludf.DUMMYFUNCTION("""COMPUTED_VALUE"""),"AB_9642_B")</f>
        <v>AB_9642_B</v>
      </c>
      <c r="C486" s="19" t="str">
        <f>IFERROR(__xludf.DUMMYFUNCTION("""COMPUTED_VALUE"""),"LL9642")</f>
        <v>LL9642</v>
      </c>
      <c r="D486" s="19" t="str">
        <f>IFERROR(__xludf.DUMMYFUNCTION("""COMPUTED_VALUE"""),"Ruta 5 Molulco")</f>
        <v>Ruta 5 Molulco</v>
      </c>
      <c r="E486" s="19" t="str">
        <f>IFERROR(__xludf.DUMMYFUNCTION("""COMPUTED_VALUE"""),"SITIO RFI")</f>
        <v>SITIO RFI</v>
      </c>
      <c r="F486" s="19" t="str">
        <f>IFERROR(__xludf.DUMMYFUNCTION("""COMPUTED_VALUE"""),"RFI")</f>
        <v>RFI</v>
      </c>
      <c r="G486" s="19" t="str">
        <f>IFERROR(__xludf.DUMMYFUNCTION("""COMPUTED_VALUE"""),"CV60")</f>
        <v>CV60</v>
      </c>
      <c r="H486" s="19" t="str">
        <f>IFERROR(__xludf.DUMMYFUNCTION("""COMPUTED_VALUE"""),"DEPROMET")</f>
        <v>DEPROMET</v>
      </c>
      <c r="I486" s="19" t="str">
        <f>IFERROR(__xludf.DUMMYFUNCTION("""COMPUTED_VALUE"""),"Entregada")</f>
        <v>Entregada</v>
      </c>
      <c r="J486" s="20">
        <f>IFERROR(__xludf.DUMMYFUNCTION("""COMPUTED_VALUE"""),45001.0)</f>
        <v>45001</v>
      </c>
      <c r="K486" s="19" t="str">
        <f>IFERROR(__xludf.DUMMYFUNCTION("""COMPUTED_VALUE"""),"Entregada")</f>
        <v>Entregada</v>
      </c>
      <c r="L486" s="20">
        <f>IFERROR(__xludf.DUMMYFUNCTION("""COMPUTED_VALUE"""),45058.0)</f>
        <v>45058</v>
      </c>
      <c r="M486" s="19" t="str">
        <f>IFERROR(__xludf.DUMMYFUNCTION("""COMPUTED_VALUE"""),"PP")</f>
        <v>PP</v>
      </c>
      <c r="N486" s="19" t="str">
        <f>IFERROR(__xludf.DUMMYFUNCTION("""COMPUTED_VALUE"""),"PRIORIDAD 1 Q3 2023 OCTUBRE")</f>
        <v>PRIORIDAD 1 Q3 2023 OCTUBRE</v>
      </c>
    </row>
    <row r="487" ht="15.75" customHeight="1">
      <c r="A487" s="19" t="str">
        <f>IFERROR(__xludf.DUMMYFUNCTION("""COMPUTED_VALUE"""),"AB_9748")</f>
        <v>AB_9748</v>
      </c>
      <c r="B487" s="19" t="str">
        <f>IFERROR(__xludf.DUMMYFUNCTION("""COMPUTED_VALUE"""),"AB_9748_A")</f>
        <v>AB_9748_A</v>
      </c>
      <c r="C487" s="19" t="str">
        <f>IFERROR(__xludf.DUMMYFUNCTION("""COMPUTED_VALUE"""),"LL9748")</f>
        <v>LL9748</v>
      </c>
      <c r="D487" s="19" t="str">
        <f>IFERROR(__xludf.DUMMYFUNCTION("""COMPUTED_VALUE"""),"Liucura")</f>
        <v>Liucura</v>
      </c>
      <c r="E487" s="19" t="str">
        <f>IFERROR(__xludf.DUMMYFUNCTION("""COMPUTED_VALUE"""),"SITIO RFI")</f>
        <v>SITIO RFI</v>
      </c>
      <c r="F487" s="19" t="str">
        <f>IFERROR(__xludf.DUMMYFUNCTION("""COMPUTED_VALUE"""),"RFI")</f>
        <v>RFI</v>
      </c>
      <c r="G487" s="19" t="str">
        <f>IFERROR(__xludf.DUMMYFUNCTION("""COMPUTED_VALUE"""),"CV60")</f>
        <v>CV60</v>
      </c>
      <c r="H487" s="19" t="str">
        <f>IFERROR(__xludf.DUMMYFUNCTION("""COMPUTED_VALUE"""),"MER")</f>
        <v>MER</v>
      </c>
      <c r="I487" s="19" t="str">
        <f>IFERROR(__xludf.DUMMYFUNCTION("""COMPUTED_VALUE"""),"Entregada")</f>
        <v>Entregada</v>
      </c>
      <c r="J487" s="20">
        <f>IFERROR(__xludf.DUMMYFUNCTION("""COMPUTED_VALUE"""),44697.0)</f>
        <v>44697</v>
      </c>
      <c r="K487" s="19" t="str">
        <f>IFERROR(__xludf.DUMMYFUNCTION("""COMPUTED_VALUE"""),"Entregada")</f>
        <v>Entregada</v>
      </c>
      <c r="L487" s="20">
        <f>IFERROR(__xludf.DUMMYFUNCTION("""COMPUTED_VALUE"""),44708.0)</f>
        <v>44708</v>
      </c>
      <c r="M487" s="19" t="str">
        <f>IFERROR(__xludf.DUMMYFUNCTION("""COMPUTED_VALUE"""),"PCM")</f>
        <v>PCM</v>
      </c>
      <c r="N487" s="19" t="str">
        <f>IFERROR(__xludf.DUMMYFUNCTION("""COMPUTED_VALUE"""),"PRIORIDAD 1 Q3 2023 OCTUBRE")</f>
        <v>PRIORIDAD 1 Q3 2023 OCTUBRE</v>
      </c>
    </row>
    <row r="488" ht="15.75" customHeight="1">
      <c r="A488" s="19" t="str">
        <f>IFERROR(__xludf.DUMMYFUNCTION("""COMPUTED_VALUE"""),"AB_9836")</f>
        <v>AB_9836</v>
      </c>
      <c r="B488" s="19" t="str">
        <f>IFERROR(__xludf.DUMMYFUNCTION("""COMPUTED_VALUE"""),"AB_9836_A")</f>
        <v>AB_9836_A</v>
      </c>
      <c r="C488" s="19" t="str">
        <f>IFERROR(__xludf.DUMMYFUNCTION("""COMPUTED_VALUE"""),"LL9836")</f>
        <v>LL9836</v>
      </c>
      <c r="D488" s="19" t="str">
        <f>IFERROR(__xludf.DUMMYFUNCTION("""COMPUTED_VALUE"""),"Caracol San Pablo")</f>
        <v>Caracol San Pablo</v>
      </c>
      <c r="E488" s="19" t="str">
        <f>IFERROR(__xludf.DUMMYFUNCTION("""COMPUTED_VALUE"""),"SITIO RFI")</f>
        <v>SITIO RFI</v>
      </c>
      <c r="F488" s="19" t="str">
        <f>IFERROR(__xludf.DUMMYFUNCTION("""COMPUTED_VALUE"""),"RFI")</f>
        <v>RFI</v>
      </c>
      <c r="G488" s="19" t="str">
        <f>IFERROR(__xludf.DUMMYFUNCTION("""COMPUTED_VALUE"""),"AS60")</f>
        <v>AS60</v>
      </c>
      <c r="H488" s="19" t="str">
        <f>IFERROR(__xludf.DUMMYFUNCTION("""COMPUTED_VALUE"""),"MER")</f>
        <v>MER</v>
      </c>
      <c r="I488" s="19" t="str">
        <f>IFERROR(__xludf.DUMMYFUNCTION("""COMPUTED_VALUE"""),"Entregada")</f>
        <v>Entregada</v>
      </c>
      <c r="J488" s="20">
        <f>IFERROR(__xludf.DUMMYFUNCTION("""COMPUTED_VALUE"""),44862.0)</f>
        <v>44862</v>
      </c>
      <c r="K488" s="19" t="str">
        <f>IFERROR(__xludf.DUMMYFUNCTION("""COMPUTED_VALUE"""),"Entregada")</f>
        <v>Entregada</v>
      </c>
      <c r="L488" s="20">
        <f>IFERROR(__xludf.DUMMYFUNCTION("""COMPUTED_VALUE"""),44883.0)</f>
        <v>44883</v>
      </c>
      <c r="M488" s="19" t="str">
        <f>IFERROR(__xludf.DUMMYFUNCTION("""COMPUTED_VALUE"""),"LLOO")</f>
        <v>LLOO</v>
      </c>
      <c r="N488" s="19" t="str">
        <f>IFERROR(__xludf.DUMMYFUNCTION("""COMPUTED_VALUE"""),"PRIORIDAD 1 Q3 2023 OCTUBRE")</f>
        <v>PRIORIDAD 1 Q3 2023 OCTUBRE</v>
      </c>
    </row>
    <row r="489" ht="15.75" customHeight="1">
      <c r="A489" s="19" t="str">
        <f>IFERROR(__xludf.DUMMYFUNCTION("""COMPUTED_VALUE"""),"AB_9804")</f>
        <v>AB_9804</v>
      </c>
      <c r="B489" s="19" t="str">
        <f>IFERROR(__xludf.DUMMYFUNCTION("""COMPUTED_VALUE"""),"AB_9804_A")</f>
        <v>AB_9804_A</v>
      </c>
      <c r="C489" s="19" t="str">
        <f>IFERROR(__xludf.DUMMYFUNCTION("""COMPUTED_VALUE"""),"CO9804")</f>
        <v>CO9804</v>
      </c>
      <c r="D489" s="19" t="str">
        <f>IFERROR(__xludf.DUMMYFUNCTION("""COMPUTED_VALUE"""),"Cajon El Romero")</f>
        <v>Cajon El Romero</v>
      </c>
      <c r="E489" s="19" t="str">
        <f>IFERROR(__xludf.DUMMYFUNCTION("""COMPUTED_VALUE"""),"SITIO RFI")</f>
        <v>SITIO RFI</v>
      </c>
      <c r="F489" s="19" t="str">
        <f>IFERROR(__xludf.DUMMYFUNCTION("""COMPUTED_VALUE"""),"CIERRE")</f>
        <v>CIERRE</v>
      </c>
      <c r="G489" s="19" t="str">
        <f>IFERROR(__xludf.DUMMYFUNCTION("""COMPUTED_VALUE"""),"AS30")</f>
        <v>AS30</v>
      </c>
      <c r="H489" s="19" t="str">
        <f>IFERROR(__xludf.DUMMYFUNCTION("""COMPUTED_VALUE"""),"METALING")</f>
        <v>METALING</v>
      </c>
      <c r="I489" s="19" t="str">
        <f>IFERROR(__xludf.DUMMYFUNCTION("""COMPUTED_VALUE"""),"Entregada")</f>
        <v>Entregada</v>
      </c>
      <c r="J489" s="20">
        <f>IFERROR(__xludf.DUMMYFUNCTION("""COMPUTED_VALUE"""),44747.0)</f>
        <v>44747</v>
      </c>
      <c r="K489" s="19" t="str">
        <f>IFERROR(__xludf.DUMMYFUNCTION("""COMPUTED_VALUE"""),"Entregada")</f>
        <v>Entregada</v>
      </c>
      <c r="L489" s="20">
        <f>IFERROR(__xludf.DUMMYFUNCTION("""COMPUTED_VALUE"""),44778.0)</f>
        <v>44778</v>
      </c>
      <c r="M489" s="19" t="str">
        <f>IFERROR(__xludf.DUMMYFUNCTION("""COMPUTED_VALUE"""),"LLOO")</f>
        <v>LLOO</v>
      </c>
      <c r="N489" s="19" t="str">
        <f>IFERROR(__xludf.DUMMYFUNCTION("""COMPUTED_VALUE"""),"PRIORIDAD 1 Q3 2023 OCTUBRE")</f>
        <v>PRIORIDAD 1 Q3 2023 OCTUBRE</v>
      </c>
    </row>
    <row r="490" ht="15.75" customHeight="1">
      <c r="A490" s="19" t="str">
        <f>IFERROR(__xludf.DUMMYFUNCTION("""COMPUTED_VALUE"""),"AB_9851")</f>
        <v>AB_9851</v>
      </c>
      <c r="B490" s="19" t="str">
        <f>IFERROR(__xludf.DUMMYFUNCTION("""COMPUTED_VALUE"""),"AB_9851_A")</f>
        <v>AB_9851_A</v>
      </c>
      <c r="C490" s="19" t="str">
        <f>IFERROR(__xludf.DUMMYFUNCTION("""COMPUTED_VALUE"""),"LL9851")</f>
        <v>LL9851</v>
      </c>
      <c r="D490" s="19" t="str">
        <f>IFERROR(__xludf.DUMMYFUNCTION("""COMPUTED_VALUE"""),"LLOO Salto Chico")</f>
        <v>LLOO Salto Chico</v>
      </c>
      <c r="E490" s="19" t="str">
        <f>IFERROR(__xludf.DUMMYFUNCTION("""COMPUTED_VALUE"""),"SITIO RFI")</f>
        <v>SITIO RFI</v>
      </c>
      <c r="F490" s="19" t="str">
        <f>IFERROR(__xludf.DUMMYFUNCTION("""COMPUTED_VALUE"""),"RFI")</f>
        <v>RFI</v>
      </c>
      <c r="G490" s="19" t="str">
        <f>IFERROR(__xludf.DUMMYFUNCTION("""COMPUTED_VALUE"""),"CV48")</f>
        <v>CV48</v>
      </c>
      <c r="H490" s="19" t="str">
        <f>IFERROR(__xludf.DUMMYFUNCTION("""COMPUTED_VALUE"""),"JTI")</f>
        <v>JTI</v>
      </c>
      <c r="I490" s="19" t="str">
        <f>IFERROR(__xludf.DUMMYFUNCTION("""COMPUTED_VALUE"""),"Entregada")</f>
        <v>Entregada</v>
      </c>
      <c r="J490" s="20">
        <f>IFERROR(__xludf.DUMMYFUNCTION("""COMPUTED_VALUE"""),44893.0)</f>
        <v>44893</v>
      </c>
      <c r="K490" s="19" t="str">
        <f>IFERROR(__xludf.DUMMYFUNCTION("""COMPUTED_VALUE"""),"Entregada")</f>
        <v>Entregada</v>
      </c>
      <c r="L490" s="20">
        <f>IFERROR(__xludf.DUMMYFUNCTION("""COMPUTED_VALUE"""),44902.0)</f>
        <v>44902</v>
      </c>
      <c r="M490" s="19" t="str">
        <f>IFERROR(__xludf.DUMMYFUNCTION("""COMPUTED_VALUE"""),"LLOO")</f>
        <v>LLOO</v>
      </c>
      <c r="N490" s="19" t="str">
        <f>IFERROR(__xludf.DUMMYFUNCTION("""COMPUTED_VALUE"""),"PRIORIDAD 1 Q3 2023 OCTUBRE")</f>
        <v>PRIORIDAD 1 Q3 2023 OCTUBRE</v>
      </c>
    </row>
    <row r="491" ht="15.75" customHeight="1">
      <c r="A491" s="19" t="str">
        <f>IFERROR(__xludf.DUMMYFUNCTION("""COMPUTED_VALUE"""),"AB_9852")</f>
        <v>AB_9852</v>
      </c>
      <c r="B491" s="19" t="str">
        <f>IFERROR(__xludf.DUMMYFUNCTION("""COMPUTED_VALUE"""),"AB_9852_E")</f>
        <v>AB_9852_E</v>
      </c>
      <c r="C491" s="19" t="str">
        <f>IFERROR(__xludf.DUMMYFUNCTION("""COMPUTED_VALUE"""),"LL9852")</f>
        <v>LL9852</v>
      </c>
      <c r="D491" s="19" t="str">
        <f>IFERROR(__xludf.DUMMYFUNCTION("""COMPUTED_VALUE"""),"LLOO Colonia Ponce")</f>
        <v>LLOO Colonia Ponce</v>
      </c>
      <c r="E491" s="19" t="str">
        <f>IFERROR(__xludf.DUMMYFUNCTION("""COMPUTED_VALUE"""),"SITIO RFI")</f>
        <v>SITIO RFI</v>
      </c>
      <c r="F491" s="19" t="str">
        <f>IFERROR(__xludf.DUMMYFUNCTION("""COMPUTED_VALUE"""),"RFI")</f>
        <v>RFI</v>
      </c>
      <c r="G491" s="19" t="str">
        <f>IFERROR(__xludf.DUMMYFUNCTION("""COMPUTED_VALUE"""),"AS42")</f>
        <v>AS42</v>
      </c>
      <c r="H491" s="19" t="str">
        <f>IFERROR(__xludf.DUMMYFUNCTION("""COMPUTED_VALUE"""),"MER")</f>
        <v>MER</v>
      </c>
      <c r="I491" s="19" t="str">
        <f>IFERROR(__xludf.DUMMYFUNCTION("""COMPUTED_VALUE"""),"Entregada")</f>
        <v>Entregada</v>
      </c>
      <c r="J491" s="20">
        <f>IFERROR(__xludf.DUMMYFUNCTION("""COMPUTED_VALUE"""),44862.0)</f>
        <v>44862</v>
      </c>
      <c r="K491" s="19" t="str">
        <f>IFERROR(__xludf.DUMMYFUNCTION("""COMPUTED_VALUE"""),"Entregada")</f>
        <v>Entregada</v>
      </c>
      <c r="L491" s="20">
        <f>IFERROR(__xludf.DUMMYFUNCTION("""COMPUTED_VALUE"""),44883.0)</f>
        <v>44883</v>
      </c>
      <c r="M491" s="19" t="str">
        <f>IFERROR(__xludf.DUMMYFUNCTION("""COMPUTED_VALUE"""),"LLOO")</f>
        <v>LLOO</v>
      </c>
      <c r="N491" s="19" t="str">
        <f>IFERROR(__xludf.DUMMYFUNCTION("""COMPUTED_VALUE"""),"PRIORIDAD 1 Q3 2023 OCTUBRE")</f>
        <v>PRIORIDAD 1 Q3 2023 OCTUBRE</v>
      </c>
    </row>
    <row r="492" ht="15.75" customHeight="1">
      <c r="A492" s="19" t="str">
        <f>IFERROR(__xludf.DUMMYFUNCTION("""COMPUTED_VALUE"""),"AB_9853")</f>
        <v>AB_9853</v>
      </c>
      <c r="B492" s="19" t="str">
        <f>IFERROR(__xludf.DUMMYFUNCTION("""COMPUTED_VALUE"""),"AB_9853_A")</f>
        <v>AB_9853_A</v>
      </c>
      <c r="C492" s="19" t="str">
        <f>IFERROR(__xludf.DUMMYFUNCTION("""COMPUTED_VALUE"""),"LL9853")</f>
        <v>LL9853</v>
      </c>
      <c r="D492" s="19" t="str">
        <f>IFERROR(__xludf.DUMMYFUNCTION("""COMPUTED_VALUE"""),"LLOO Huito")</f>
        <v>LLOO Huito</v>
      </c>
      <c r="E492" s="19" t="str">
        <f>IFERROR(__xludf.DUMMYFUNCTION("""COMPUTED_VALUE"""),"SITIO RFI")</f>
        <v>SITIO RFI</v>
      </c>
      <c r="F492" s="19" t="str">
        <f>IFERROR(__xludf.DUMMYFUNCTION("""COMPUTED_VALUE"""),"RFI")</f>
        <v>RFI</v>
      </c>
      <c r="G492" s="19" t="str">
        <f>IFERROR(__xludf.DUMMYFUNCTION("""COMPUTED_VALUE"""),"AS60")</f>
        <v>AS60</v>
      </c>
      <c r="H492" s="19" t="str">
        <f>IFERROR(__xludf.DUMMYFUNCTION("""COMPUTED_VALUE"""),"MER")</f>
        <v>MER</v>
      </c>
      <c r="I492" s="19" t="str">
        <f>IFERROR(__xludf.DUMMYFUNCTION("""COMPUTED_VALUE"""),"Entregada")</f>
        <v>Entregada</v>
      </c>
      <c r="J492" s="20">
        <f>IFERROR(__xludf.DUMMYFUNCTION("""COMPUTED_VALUE"""),44881.0)</f>
        <v>44881</v>
      </c>
      <c r="K492" s="19" t="str">
        <f>IFERROR(__xludf.DUMMYFUNCTION("""COMPUTED_VALUE"""),"Entregada")</f>
        <v>Entregada</v>
      </c>
      <c r="L492" s="20">
        <f>IFERROR(__xludf.DUMMYFUNCTION("""COMPUTED_VALUE"""),44890.0)</f>
        <v>44890</v>
      </c>
      <c r="M492" s="19" t="str">
        <f>IFERROR(__xludf.DUMMYFUNCTION("""COMPUTED_VALUE"""),"LLOO")</f>
        <v>LLOO</v>
      </c>
      <c r="N492" s="19" t="str">
        <f>IFERROR(__xludf.DUMMYFUNCTION("""COMPUTED_VALUE"""),"PRIORIDAD 1 Q3 2023 OCTUBRE")</f>
        <v>PRIORIDAD 1 Q3 2023 OCTUBRE</v>
      </c>
    </row>
    <row r="493" ht="15.75" customHeight="1">
      <c r="A493" s="19" t="str">
        <f>IFERROR(__xludf.DUMMYFUNCTION("""COMPUTED_VALUE"""),"AB_9854")</f>
        <v>AB_9854</v>
      </c>
      <c r="B493" s="19" t="str">
        <f>IFERROR(__xludf.DUMMYFUNCTION("""COMPUTED_VALUE"""),"AB_9854_B")</f>
        <v>AB_9854_B</v>
      </c>
      <c r="C493" s="19" t="str">
        <f>IFERROR(__xludf.DUMMYFUNCTION("""COMPUTED_VALUE"""),"LL9854")</f>
        <v>LL9854</v>
      </c>
      <c r="D493" s="19" t="str">
        <f>IFERROR(__xludf.DUMMYFUNCTION("""COMPUTED_VALUE"""),"LLOO Quema del buey")</f>
        <v>LLOO Quema del buey</v>
      </c>
      <c r="E493" s="19" t="str">
        <f>IFERROR(__xludf.DUMMYFUNCTION("""COMPUTED_VALUE"""),"SITIO RFI")</f>
        <v>SITIO RFI</v>
      </c>
      <c r="F493" s="19" t="str">
        <f>IFERROR(__xludf.DUMMYFUNCTION("""COMPUTED_VALUE"""),"RFI")</f>
        <v>RFI</v>
      </c>
      <c r="G493" s="19" t="str">
        <f>IFERROR(__xludf.DUMMYFUNCTION("""COMPUTED_VALUE"""),"AS60")</f>
        <v>AS60</v>
      </c>
      <c r="H493" s="19" t="str">
        <f>IFERROR(__xludf.DUMMYFUNCTION("""COMPUTED_VALUE"""),"MER")</f>
        <v>MER</v>
      </c>
      <c r="I493" s="19" t="str">
        <f>IFERROR(__xludf.DUMMYFUNCTION("""COMPUTED_VALUE"""),"Entregada")</f>
        <v>Entregada</v>
      </c>
      <c r="J493" s="20">
        <f>IFERROR(__xludf.DUMMYFUNCTION("""COMPUTED_VALUE"""),44862.0)</f>
        <v>44862</v>
      </c>
      <c r="K493" s="19" t="str">
        <f>IFERROR(__xludf.DUMMYFUNCTION("""COMPUTED_VALUE"""),"Entregada")</f>
        <v>Entregada</v>
      </c>
      <c r="L493" s="20">
        <f>IFERROR(__xludf.DUMMYFUNCTION("""COMPUTED_VALUE"""),44883.0)</f>
        <v>44883</v>
      </c>
      <c r="M493" s="19" t="str">
        <f>IFERROR(__xludf.DUMMYFUNCTION("""COMPUTED_VALUE"""),"LLOO")</f>
        <v>LLOO</v>
      </c>
      <c r="N493" s="19" t="str">
        <f>IFERROR(__xludf.DUMMYFUNCTION("""COMPUTED_VALUE"""),"PRIORIDAD 1 Q3 2023 OCTUBRE")</f>
        <v>PRIORIDAD 1 Q3 2023 OCTUBRE</v>
      </c>
    </row>
    <row r="494" ht="15.75" customHeight="1">
      <c r="A494" s="19" t="str">
        <f>IFERROR(__xludf.DUMMYFUNCTION("""COMPUTED_VALUE"""),"AB_9855")</f>
        <v>AB_9855</v>
      </c>
      <c r="B494" s="19" t="str">
        <f>IFERROR(__xludf.DUMMYFUNCTION("""COMPUTED_VALUE"""),"AB_9855_B")</f>
        <v>AB_9855_B</v>
      </c>
      <c r="C494" s="19" t="str">
        <f>IFERROR(__xludf.DUMMYFUNCTION("""COMPUTED_VALUE"""),"LL9855")</f>
        <v>LL9855</v>
      </c>
      <c r="D494" s="19" t="str">
        <f>IFERROR(__xludf.DUMMYFUNCTION("""COMPUTED_VALUE"""),"LLOO Nochaco")</f>
        <v>LLOO Nochaco</v>
      </c>
      <c r="E494" s="19" t="str">
        <f>IFERROR(__xludf.DUMMYFUNCTION("""COMPUTED_VALUE"""),"SITIO RFI")</f>
        <v>SITIO RFI</v>
      </c>
      <c r="F494" s="19" t="str">
        <f>IFERROR(__xludf.DUMMYFUNCTION("""COMPUTED_VALUE"""),"RFI")</f>
        <v>RFI</v>
      </c>
      <c r="G494" s="19" t="str">
        <f>IFERROR(__xludf.DUMMYFUNCTION("""COMPUTED_VALUE"""),"AS42")</f>
        <v>AS42</v>
      </c>
      <c r="H494" s="19" t="str">
        <f>IFERROR(__xludf.DUMMYFUNCTION("""COMPUTED_VALUE"""),"MER")</f>
        <v>MER</v>
      </c>
      <c r="I494" s="19" t="str">
        <f>IFERROR(__xludf.DUMMYFUNCTION("""COMPUTED_VALUE"""),"Entregada")</f>
        <v>Entregada</v>
      </c>
      <c r="J494" s="20">
        <f>IFERROR(__xludf.DUMMYFUNCTION("""COMPUTED_VALUE"""),44722.0)</f>
        <v>44722</v>
      </c>
      <c r="K494" s="19" t="str">
        <f>IFERROR(__xludf.DUMMYFUNCTION("""COMPUTED_VALUE"""),"Entregada")</f>
        <v>Entregada</v>
      </c>
      <c r="L494" s="20">
        <f>IFERROR(__xludf.DUMMYFUNCTION("""COMPUTED_VALUE"""),44722.0)</f>
        <v>44722</v>
      </c>
      <c r="M494" s="19" t="str">
        <f>IFERROR(__xludf.DUMMYFUNCTION("""COMPUTED_VALUE"""),"LLOO")</f>
        <v>LLOO</v>
      </c>
      <c r="N494" s="19" t="str">
        <f>IFERROR(__xludf.DUMMYFUNCTION("""COMPUTED_VALUE"""),"PRIORIDAD 1 Q3 2023 OCTUBRE")</f>
        <v>PRIORIDAD 1 Q3 2023 OCTUBRE</v>
      </c>
    </row>
    <row r="495" ht="15.75" customHeight="1">
      <c r="A495" s="19" t="str">
        <f>IFERROR(__xludf.DUMMYFUNCTION("""COMPUTED_VALUE"""),"AB_9856")</f>
        <v>AB_9856</v>
      </c>
      <c r="B495" s="19" t="str">
        <f>IFERROR(__xludf.DUMMYFUNCTION("""COMPUTED_VALUE"""),"AB_9856_A")</f>
        <v>AB_9856_A</v>
      </c>
      <c r="C495" s="19" t="str">
        <f>IFERROR(__xludf.DUMMYFUNCTION("""COMPUTED_VALUE"""),"LL9856")</f>
        <v>LL9856</v>
      </c>
      <c r="D495" s="19" t="str">
        <f>IFERROR(__xludf.DUMMYFUNCTION("""COMPUTED_VALUE"""),"LLOO Chulchuy")</f>
        <v>LLOO Chulchuy</v>
      </c>
      <c r="E495" s="19" t="str">
        <f>IFERROR(__xludf.DUMMYFUNCTION("""COMPUTED_VALUE"""),"SITIO RFI")</f>
        <v>SITIO RFI</v>
      </c>
      <c r="F495" s="19" t="str">
        <f>IFERROR(__xludf.DUMMYFUNCTION("""COMPUTED_VALUE"""),"RFI")</f>
        <v>RFI</v>
      </c>
      <c r="G495" s="19" t="str">
        <f>IFERROR(__xludf.DUMMYFUNCTION("""COMPUTED_VALUE"""),"AS48")</f>
        <v>AS48</v>
      </c>
      <c r="H495" s="19" t="str">
        <f>IFERROR(__xludf.DUMMYFUNCTION("""COMPUTED_VALUE"""),"MER")</f>
        <v>MER</v>
      </c>
      <c r="I495" s="19" t="str">
        <f>IFERROR(__xludf.DUMMYFUNCTION("""COMPUTED_VALUE"""),"Entregada")</f>
        <v>Entregada</v>
      </c>
      <c r="J495" s="20">
        <f>IFERROR(__xludf.DUMMYFUNCTION("""COMPUTED_VALUE"""),44722.0)</f>
        <v>44722</v>
      </c>
      <c r="K495" s="19" t="str">
        <f>IFERROR(__xludf.DUMMYFUNCTION("""COMPUTED_VALUE"""),"Entregada")</f>
        <v>Entregada</v>
      </c>
      <c r="L495" s="20">
        <f>IFERROR(__xludf.DUMMYFUNCTION("""COMPUTED_VALUE"""),44743.0)</f>
        <v>44743</v>
      </c>
      <c r="M495" s="19" t="str">
        <f>IFERROR(__xludf.DUMMYFUNCTION("""COMPUTED_VALUE"""),"PCM")</f>
        <v>PCM</v>
      </c>
      <c r="N495" s="19" t="str">
        <f>IFERROR(__xludf.DUMMYFUNCTION("""COMPUTED_VALUE"""),"PRIORIDAD 1 Q3 2023 OCTUBRE")</f>
        <v>PRIORIDAD 1 Q3 2023 OCTUBRE</v>
      </c>
    </row>
    <row r="496" ht="15.75" customHeight="1">
      <c r="A496" s="19" t="str">
        <f>IFERROR(__xludf.DUMMYFUNCTION("""COMPUTED_VALUE"""),"AB_9857")</f>
        <v>AB_9857</v>
      </c>
      <c r="B496" s="19" t="str">
        <f>IFERROR(__xludf.DUMMYFUNCTION("""COMPUTED_VALUE"""),"AB_9857_B")</f>
        <v>AB_9857_B</v>
      </c>
      <c r="C496" s="19" t="str">
        <f>IFERROR(__xludf.DUMMYFUNCTION("""COMPUTED_VALUE"""),"LL9857")</f>
        <v>LL9857</v>
      </c>
      <c r="D496" s="19" t="str">
        <f>IFERROR(__xludf.DUMMYFUNCTION("""COMPUTED_VALUE"""),"LLOO Aucho")</f>
        <v>LLOO Aucho</v>
      </c>
      <c r="E496" s="19" t="str">
        <f>IFERROR(__xludf.DUMMYFUNCTION("""COMPUTED_VALUE"""),"SITIO RFI")</f>
        <v>SITIO RFI</v>
      </c>
      <c r="F496" s="19" t="str">
        <f>IFERROR(__xludf.DUMMYFUNCTION("""COMPUTED_VALUE"""),"RFI")</f>
        <v>RFI</v>
      </c>
      <c r="G496" s="19" t="str">
        <f>IFERROR(__xludf.DUMMYFUNCTION("""COMPUTED_VALUE"""),"AS60")</f>
        <v>AS60</v>
      </c>
      <c r="H496" s="19" t="str">
        <f>IFERROR(__xludf.DUMMYFUNCTION("""COMPUTED_VALUE"""),"MER")</f>
        <v>MER</v>
      </c>
      <c r="I496" s="19" t="str">
        <f>IFERROR(__xludf.DUMMYFUNCTION("""COMPUTED_VALUE"""),"Entregada")</f>
        <v>Entregada</v>
      </c>
      <c r="J496" s="20">
        <f>IFERROR(__xludf.DUMMYFUNCTION("""COMPUTED_VALUE"""),44862.0)</f>
        <v>44862</v>
      </c>
      <c r="K496" s="19" t="str">
        <f>IFERROR(__xludf.DUMMYFUNCTION("""COMPUTED_VALUE"""),"Entregada")</f>
        <v>Entregada</v>
      </c>
      <c r="L496" s="20">
        <f>IFERROR(__xludf.DUMMYFUNCTION("""COMPUTED_VALUE"""),44883.0)</f>
        <v>44883</v>
      </c>
      <c r="M496" s="19" t="str">
        <f>IFERROR(__xludf.DUMMYFUNCTION("""COMPUTED_VALUE"""),"LLOO")</f>
        <v>LLOO</v>
      </c>
      <c r="N496" s="19" t="str">
        <f>IFERROR(__xludf.DUMMYFUNCTION("""COMPUTED_VALUE"""),"PRIORIDAD 1 Q3 2023 OCTUBRE")</f>
        <v>PRIORIDAD 1 Q3 2023 OCTUBRE</v>
      </c>
    </row>
    <row r="497" ht="15.75" customHeight="1">
      <c r="A497" s="19" t="str">
        <f>IFERROR(__xludf.DUMMYFUNCTION("""COMPUTED_VALUE"""),"AB_9859")</f>
        <v>AB_9859</v>
      </c>
      <c r="B497" s="19" t="str">
        <f>IFERROR(__xludf.DUMMYFUNCTION("""COMPUTED_VALUE"""),"AB_9859_D")</f>
        <v>AB_9859_D</v>
      </c>
      <c r="C497" s="19" t="str">
        <f>IFERROR(__xludf.DUMMYFUNCTION("""COMPUTED_VALUE"""),"LL9859")</f>
        <v>LL9859</v>
      </c>
      <c r="D497" s="19" t="str">
        <f>IFERROR(__xludf.DUMMYFUNCTION("""COMPUTED_VALUE"""),"LLOO Parga")</f>
        <v>LLOO Parga</v>
      </c>
      <c r="E497" s="19" t="str">
        <f>IFERROR(__xludf.DUMMYFUNCTION("""COMPUTED_VALUE"""),"SITIO RFI")</f>
        <v>SITIO RFI</v>
      </c>
      <c r="F497" s="19" t="str">
        <f>IFERROR(__xludf.DUMMYFUNCTION("""COMPUTED_VALUE"""),"RFI")</f>
        <v>RFI</v>
      </c>
      <c r="G497" s="19" t="str">
        <f>IFERROR(__xludf.DUMMYFUNCTION("""COMPUTED_VALUE"""),"CV60")</f>
        <v>CV60</v>
      </c>
      <c r="H497" s="19" t="str">
        <f>IFERROR(__xludf.DUMMYFUNCTION("""COMPUTED_VALUE"""),"DEPROMET")</f>
        <v>DEPROMET</v>
      </c>
      <c r="I497" s="19" t="str">
        <f>IFERROR(__xludf.DUMMYFUNCTION("""COMPUTED_VALUE"""),"Entregada")</f>
        <v>Entregada</v>
      </c>
      <c r="J497" s="20">
        <f>IFERROR(__xludf.DUMMYFUNCTION("""COMPUTED_VALUE"""),44839.0)</f>
        <v>44839</v>
      </c>
      <c r="K497" s="19" t="str">
        <f>IFERROR(__xludf.DUMMYFUNCTION("""COMPUTED_VALUE"""),"Entregada")</f>
        <v>Entregada</v>
      </c>
      <c r="L497" s="20">
        <f>IFERROR(__xludf.DUMMYFUNCTION("""COMPUTED_VALUE"""),44861.0)</f>
        <v>44861</v>
      </c>
      <c r="M497" s="19" t="str">
        <f>IFERROR(__xludf.DUMMYFUNCTION("""COMPUTED_VALUE"""),"LLOO")</f>
        <v>LLOO</v>
      </c>
      <c r="N497" s="19" t="str">
        <f>IFERROR(__xludf.DUMMYFUNCTION("""COMPUTED_VALUE"""),"PRIORIDAD 1 Q3 2023 OCTUBRE")</f>
        <v>PRIORIDAD 1 Q3 2023 OCTUBRE</v>
      </c>
    </row>
    <row r="498" ht="15.75" customHeight="1">
      <c r="A498" s="19" t="str">
        <f>IFERROR(__xludf.DUMMYFUNCTION("""COMPUTED_VALUE"""),"AB_9810")</f>
        <v>AB_9810</v>
      </c>
      <c r="B498" s="19" t="str">
        <f>IFERROR(__xludf.DUMMYFUNCTION("""COMPUTED_VALUE"""),"AB_9810_D")</f>
        <v>AB_9810_D</v>
      </c>
      <c r="C498" s="19" t="str">
        <f>IFERROR(__xludf.DUMMYFUNCTION("""COMPUTED_VALUE"""),"CO9810")</f>
        <v>CO9810</v>
      </c>
      <c r="D498" s="19" t="str">
        <f>IFERROR(__xludf.DUMMYFUNCTION("""COMPUTED_VALUE"""),"La Tortola La huiguera ")</f>
        <v>La Tortola La huiguera </v>
      </c>
      <c r="E498" s="19" t="str">
        <f>IFERROR(__xludf.DUMMYFUNCTION("""COMPUTED_VALUE"""),"SITIO RFI")</f>
        <v>SITIO RFI</v>
      </c>
      <c r="F498" s="19" t="str">
        <f>IFERROR(__xludf.DUMMYFUNCTION("""COMPUTED_VALUE"""),"CIERRE")</f>
        <v>CIERRE</v>
      </c>
      <c r="G498" s="19" t="str">
        <f>IFERROR(__xludf.DUMMYFUNCTION("""COMPUTED_VALUE"""),"CV42")</f>
        <v>CV42</v>
      </c>
      <c r="H498" s="19" t="str">
        <f>IFERROR(__xludf.DUMMYFUNCTION("""COMPUTED_VALUE"""),"SYC")</f>
        <v>SYC</v>
      </c>
      <c r="I498" s="19" t="str">
        <f>IFERROR(__xludf.DUMMYFUNCTION("""COMPUTED_VALUE"""),"Entregada")</f>
        <v>Entregada</v>
      </c>
      <c r="J498" s="20">
        <f>IFERROR(__xludf.DUMMYFUNCTION("""COMPUTED_VALUE"""),44890.0)</f>
        <v>44890</v>
      </c>
      <c r="K498" s="19" t="str">
        <f>IFERROR(__xludf.DUMMYFUNCTION("""COMPUTED_VALUE"""),"Entregada")</f>
        <v>Entregada</v>
      </c>
      <c r="L498" s="20">
        <f>IFERROR(__xludf.DUMMYFUNCTION("""COMPUTED_VALUE"""),44897.0)</f>
        <v>44897</v>
      </c>
      <c r="M498" s="19" t="str">
        <f>IFERROR(__xludf.DUMMYFUNCTION("""COMPUTED_VALUE"""),"LLOO")</f>
        <v>LLOO</v>
      </c>
      <c r="N498" s="19" t="str">
        <f>IFERROR(__xludf.DUMMYFUNCTION("""COMPUTED_VALUE"""),"PRIORIDAD 1 Q3 2023 OCTUBRE")</f>
        <v>PRIORIDAD 1 Q3 2023 OCTUBRE</v>
      </c>
    </row>
    <row r="499" ht="15.75" customHeight="1">
      <c r="A499" s="19" t="str">
        <f>IFERROR(__xludf.DUMMYFUNCTION("""COMPUTED_VALUE"""),"AB_9861")</f>
        <v>AB_9861</v>
      </c>
      <c r="B499" s="19" t="str">
        <f>IFERROR(__xludf.DUMMYFUNCTION("""COMPUTED_VALUE"""),"AB_9861_A")</f>
        <v>AB_9861_A</v>
      </c>
      <c r="C499" s="19" t="str">
        <f>IFERROR(__xludf.DUMMYFUNCTION("""COMPUTED_VALUE"""),"LL9861")</f>
        <v>LL9861</v>
      </c>
      <c r="D499" s="19" t="str">
        <f>IFERROR(__xludf.DUMMYFUNCTION("""COMPUTED_VALUE"""),"LLOO Coyam")</f>
        <v>LLOO Coyam</v>
      </c>
      <c r="E499" s="19" t="str">
        <f>IFERROR(__xludf.DUMMYFUNCTION("""COMPUTED_VALUE"""),"SITIO RFI")</f>
        <v>SITIO RFI</v>
      </c>
      <c r="F499" s="19" t="str">
        <f>IFERROR(__xludf.DUMMYFUNCTION("""COMPUTED_VALUE"""),"RFI")</f>
        <v>RFI</v>
      </c>
      <c r="G499" s="19" t="str">
        <f>IFERROR(__xludf.DUMMYFUNCTION("""COMPUTED_VALUE"""),"AS48")</f>
        <v>AS48</v>
      </c>
      <c r="H499" s="19" t="str">
        <f>IFERROR(__xludf.DUMMYFUNCTION("""COMPUTED_VALUE"""),"METALING")</f>
        <v>METALING</v>
      </c>
      <c r="I499" s="19" t="str">
        <f>IFERROR(__xludf.DUMMYFUNCTION("""COMPUTED_VALUE"""),"Entregada")</f>
        <v>Entregada</v>
      </c>
      <c r="J499" s="20">
        <f>IFERROR(__xludf.DUMMYFUNCTION("""COMPUTED_VALUE"""),44869.0)</f>
        <v>44869</v>
      </c>
      <c r="K499" s="19" t="str">
        <f>IFERROR(__xludf.DUMMYFUNCTION("""COMPUTED_VALUE"""),"Entregada")</f>
        <v>Entregada</v>
      </c>
      <c r="L499" s="20">
        <f>IFERROR(__xludf.DUMMYFUNCTION("""COMPUTED_VALUE"""),44908.0)</f>
        <v>44908</v>
      </c>
      <c r="M499" s="19" t="str">
        <f>IFERROR(__xludf.DUMMYFUNCTION("""COMPUTED_VALUE"""),"LLOO")</f>
        <v>LLOO</v>
      </c>
      <c r="N499" s="19" t="str">
        <f>IFERROR(__xludf.DUMMYFUNCTION("""COMPUTED_VALUE"""),"PRIORIDAD 1 Q3 2023 OCTUBRE")</f>
        <v>PRIORIDAD 1 Q3 2023 OCTUBRE</v>
      </c>
    </row>
    <row r="500" ht="15.75" customHeight="1">
      <c r="A500" s="19" t="str">
        <f>IFERROR(__xludf.DUMMYFUNCTION("""COMPUTED_VALUE"""),"AB_9862")</f>
        <v>AB_9862</v>
      </c>
      <c r="B500" s="19" t="str">
        <f>IFERROR(__xludf.DUMMYFUNCTION("""COMPUTED_VALUE"""),"AB_9862_A")</f>
        <v>AB_9862_A</v>
      </c>
      <c r="C500" s="19" t="str">
        <f>IFERROR(__xludf.DUMMYFUNCTION("""COMPUTED_VALUE"""),"LL9862")</f>
        <v>LL9862</v>
      </c>
      <c r="D500" s="19" t="str">
        <f>IFERROR(__xludf.DUMMYFUNCTION("""COMPUTED_VALUE"""),"LLOO San Florentino")</f>
        <v>LLOO San Florentino</v>
      </c>
      <c r="E500" s="19" t="str">
        <f>IFERROR(__xludf.DUMMYFUNCTION("""COMPUTED_VALUE"""),"SITIO RFI")</f>
        <v>SITIO RFI</v>
      </c>
      <c r="F500" s="19" t="str">
        <f>IFERROR(__xludf.DUMMYFUNCTION("""COMPUTED_VALUE"""),"RFI")</f>
        <v>RFI</v>
      </c>
      <c r="G500" s="19" t="str">
        <f>IFERROR(__xludf.DUMMYFUNCTION("""COMPUTED_VALUE"""),"AS60")</f>
        <v>AS60</v>
      </c>
      <c r="H500" s="19" t="str">
        <f>IFERROR(__xludf.DUMMYFUNCTION("""COMPUTED_VALUE"""),"DEITEL")</f>
        <v>DEITEL</v>
      </c>
      <c r="I500" s="19" t="str">
        <f>IFERROR(__xludf.DUMMYFUNCTION("""COMPUTED_VALUE"""),"Entregada")</f>
        <v>Entregada</v>
      </c>
      <c r="J500" s="20">
        <f>IFERROR(__xludf.DUMMYFUNCTION("""COMPUTED_VALUE"""),44672.0)</f>
        <v>44672</v>
      </c>
      <c r="K500" s="19" t="str">
        <f>IFERROR(__xludf.DUMMYFUNCTION("""COMPUTED_VALUE"""),"Entregada")</f>
        <v>Entregada</v>
      </c>
      <c r="L500" s="20">
        <f>IFERROR(__xludf.DUMMYFUNCTION("""COMPUTED_VALUE"""),44720.0)</f>
        <v>44720</v>
      </c>
      <c r="M500" s="19" t="str">
        <f>IFERROR(__xludf.DUMMYFUNCTION("""COMPUTED_VALUE"""),"PCM")</f>
        <v>PCM</v>
      </c>
      <c r="N500" s="19" t="str">
        <f>IFERROR(__xludf.DUMMYFUNCTION("""COMPUTED_VALUE"""),"PRIORIDAD 1 Q3 2023 OCTUBRE")</f>
        <v>PRIORIDAD 1 Q3 2023 OCTUBRE</v>
      </c>
    </row>
    <row r="501" ht="15.75" customHeight="1">
      <c r="A501" s="19" t="str">
        <f>IFERROR(__xludf.DUMMYFUNCTION("""COMPUTED_VALUE"""),"AB_9863")</f>
        <v>AB_9863</v>
      </c>
      <c r="B501" s="19" t="str">
        <f>IFERROR(__xludf.DUMMYFUNCTION("""COMPUTED_VALUE"""),"AB_9863_C")</f>
        <v>AB_9863_C</v>
      </c>
      <c r="C501" s="19" t="str">
        <f>IFERROR(__xludf.DUMMYFUNCTION("""COMPUTED_VALUE"""),"LL9863")</f>
        <v>LL9863</v>
      </c>
      <c r="D501" s="19" t="str">
        <f>IFERROR(__xludf.DUMMYFUNCTION("""COMPUTED_VALUE"""),"LLOO Corral del Sur")</f>
        <v>LLOO Corral del Sur</v>
      </c>
      <c r="E501" s="19" t="str">
        <f>IFERROR(__xludf.DUMMYFUNCTION("""COMPUTED_VALUE"""),"SITIO RFI")</f>
        <v>SITIO RFI</v>
      </c>
      <c r="F501" s="19" t="str">
        <f>IFERROR(__xludf.DUMMYFUNCTION("""COMPUTED_VALUE"""),"RFI")</f>
        <v>RFI</v>
      </c>
      <c r="G501" s="19" t="str">
        <f>IFERROR(__xludf.DUMMYFUNCTION("""COMPUTED_VALUE"""),"AS48")</f>
        <v>AS48</v>
      </c>
      <c r="H501" s="19" t="str">
        <f>IFERROR(__xludf.DUMMYFUNCTION("""COMPUTED_VALUE"""),"METALING")</f>
        <v>METALING</v>
      </c>
      <c r="I501" s="19" t="str">
        <f>IFERROR(__xludf.DUMMYFUNCTION("""COMPUTED_VALUE"""),"Entregada")</f>
        <v>Entregada</v>
      </c>
      <c r="J501" s="20">
        <f>IFERROR(__xludf.DUMMYFUNCTION("""COMPUTED_VALUE"""),44876.0)</f>
        <v>44876</v>
      </c>
      <c r="K501" s="19" t="str">
        <f>IFERROR(__xludf.DUMMYFUNCTION("""COMPUTED_VALUE"""),"Entregada")</f>
        <v>Entregada</v>
      </c>
      <c r="L501" s="20">
        <f>IFERROR(__xludf.DUMMYFUNCTION("""COMPUTED_VALUE"""),44978.0)</f>
        <v>44978</v>
      </c>
      <c r="M501" s="19" t="str">
        <f>IFERROR(__xludf.DUMMYFUNCTION("""COMPUTED_VALUE"""),"LLOO")</f>
        <v>LLOO</v>
      </c>
      <c r="N501" s="19" t="str">
        <f>IFERROR(__xludf.DUMMYFUNCTION("""COMPUTED_VALUE"""),"PRIORIDAD 1 Q3 2023 OCTUBRE")</f>
        <v>PRIORIDAD 1 Q3 2023 OCTUBRE</v>
      </c>
    </row>
    <row r="502" ht="15.75" customHeight="1">
      <c r="A502" s="19" t="str">
        <f>IFERROR(__xludf.DUMMYFUNCTION("""COMPUTED_VALUE"""),"AB_9864")</f>
        <v>AB_9864</v>
      </c>
      <c r="B502" s="19" t="str">
        <f>IFERROR(__xludf.DUMMYFUNCTION("""COMPUTED_VALUE"""),"AB_9864_B")</f>
        <v>AB_9864_B</v>
      </c>
      <c r="C502" s="19" t="str">
        <f>IFERROR(__xludf.DUMMYFUNCTION("""COMPUTED_VALUE"""),"LL9864")</f>
        <v>LL9864</v>
      </c>
      <c r="D502" s="19" t="str">
        <f>IFERROR(__xludf.DUMMYFUNCTION("""COMPUTED_VALUE"""),"LLOO Ñancuan")</f>
        <v>LLOO Ñancuan</v>
      </c>
      <c r="E502" s="19" t="str">
        <f>IFERROR(__xludf.DUMMYFUNCTION("""COMPUTED_VALUE"""),"SITIO RFI")</f>
        <v>SITIO RFI</v>
      </c>
      <c r="F502" s="19" t="str">
        <f>IFERROR(__xludf.DUMMYFUNCTION("""COMPUTED_VALUE"""),"RFI")</f>
        <v>RFI</v>
      </c>
      <c r="G502" s="19" t="str">
        <f>IFERROR(__xludf.DUMMYFUNCTION("""COMPUTED_VALUE"""),"CV60")</f>
        <v>CV60</v>
      </c>
      <c r="H502" s="19" t="str">
        <f>IFERROR(__xludf.DUMMYFUNCTION("""COMPUTED_VALUE"""),"DEPROMET")</f>
        <v>DEPROMET</v>
      </c>
      <c r="I502" s="19" t="str">
        <f>IFERROR(__xludf.DUMMYFUNCTION("""COMPUTED_VALUE"""),"Entregada")</f>
        <v>Entregada</v>
      </c>
      <c r="J502" s="20">
        <f>IFERROR(__xludf.DUMMYFUNCTION("""COMPUTED_VALUE"""),44708.0)</f>
        <v>44708</v>
      </c>
      <c r="K502" s="19" t="str">
        <f>IFERROR(__xludf.DUMMYFUNCTION("""COMPUTED_VALUE"""),"Entregada")</f>
        <v>Entregada</v>
      </c>
      <c r="L502" s="20">
        <f>IFERROR(__xludf.DUMMYFUNCTION("""COMPUTED_VALUE"""),44811.0)</f>
        <v>44811</v>
      </c>
      <c r="M502" s="19" t="str">
        <f>IFERROR(__xludf.DUMMYFUNCTION("""COMPUTED_VALUE"""),"LLOO")</f>
        <v>LLOO</v>
      </c>
      <c r="N502" s="19" t="str">
        <f>IFERROR(__xludf.DUMMYFUNCTION("""COMPUTED_VALUE"""),"PRIORIDAD 1 Q3 2023 OCTUBRE")</f>
        <v>PRIORIDAD 1 Q3 2023 OCTUBRE</v>
      </c>
    </row>
    <row r="503" ht="15.75" customHeight="1">
      <c r="A503" s="19" t="str">
        <f>IFERROR(__xludf.DUMMYFUNCTION("""COMPUTED_VALUE"""),"AB_9865")</f>
        <v>AB_9865</v>
      </c>
      <c r="B503" s="19" t="str">
        <f>IFERROR(__xludf.DUMMYFUNCTION("""COMPUTED_VALUE"""),"AB_9865_B")</f>
        <v>AB_9865_B</v>
      </c>
      <c r="C503" s="19" t="str">
        <f>IFERROR(__xludf.DUMMYFUNCTION("""COMPUTED_VALUE"""),"LL9865")</f>
        <v>LL9865</v>
      </c>
      <c r="D503" s="19" t="str">
        <f>IFERROR(__xludf.DUMMYFUNCTION("""COMPUTED_VALUE"""),"LLOO Casa de Lata")</f>
        <v>LLOO Casa de Lata</v>
      </c>
      <c r="E503" s="19" t="str">
        <f>IFERROR(__xludf.DUMMYFUNCTION("""COMPUTED_VALUE"""),"SITIO RFI")</f>
        <v>SITIO RFI</v>
      </c>
      <c r="F503" s="19" t="str">
        <f>IFERROR(__xludf.DUMMYFUNCTION("""COMPUTED_VALUE"""),"RFI")</f>
        <v>RFI</v>
      </c>
      <c r="G503" s="19" t="str">
        <f>IFERROR(__xludf.DUMMYFUNCTION("""COMPUTED_VALUE"""),"AS48")</f>
        <v>AS48</v>
      </c>
      <c r="H503" s="19" t="str">
        <f>IFERROR(__xludf.DUMMYFUNCTION("""COMPUTED_VALUE"""),"ADM")</f>
        <v>ADM</v>
      </c>
      <c r="I503" s="19" t="str">
        <f>IFERROR(__xludf.DUMMYFUNCTION("""COMPUTED_VALUE"""),"Entregada")</f>
        <v>Entregada</v>
      </c>
      <c r="J503" s="20">
        <f>IFERROR(__xludf.DUMMYFUNCTION("""COMPUTED_VALUE"""),44750.0)</f>
        <v>44750</v>
      </c>
      <c r="K503" s="19" t="str">
        <f>IFERROR(__xludf.DUMMYFUNCTION("""COMPUTED_VALUE"""),"Entregada")</f>
        <v>Entregada</v>
      </c>
      <c r="L503" s="20">
        <f>IFERROR(__xludf.DUMMYFUNCTION("""COMPUTED_VALUE"""),44785.0)</f>
        <v>44785</v>
      </c>
      <c r="M503" s="19" t="str">
        <f>IFERROR(__xludf.DUMMYFUNCTION("""COMPUTED_VALUE"""),"LLOO")</f>
        <v>LLOO</v>
      </c>
      <c r="N503" s="19" t="str">
        <f>IFERROR(__xludf.DUMMYFUNCTION("""COMPUTED_VALUE"""),"PRIORIDAD 1 Q3 2023 OCTUBRE")</f>
        <v>PRIORIDAD 1 Q3 2023 OCTUBRE</v>
      </c>
    </row>
    <row r="504" ht="15.75" customHeight="1">
      <c r="A504" s="19" t="str">
        <f>IFERROR(__xludf.DUMMYFUNCTION("""COMPUTED_VALUE"""),"AB_9866")</f>
        <v>AB_9866</v>
      </c>
      <c r="B504" s="19" t="str">
        <f>IFERROR(__xludf.DUMMYFUNCTION("""COMPUTED_VALUE"""),"AB_9866_B")</f>
        <v>AB_9866_B</v>
      </c>
      <c r="C504" s="19" t="str">
        <f>IFERROR(__xludf.DUMMYFUNCTION("""COMPUTED_VALUE"""),"LL9866")</f>
        <v>LL9866</v>
      </c>
      <c r="D504" s="19" t="str">
        <f>IFERROR(__xludf.DUMMYFUNCTION("""COMPUTED_VALUE"""),"LLOO Apeche")</f>
        <v>LLOO Apeche</v>
      </c>
      <c r="E504" s="19" t="str">
        <f>IFERROR(__xludf.DUMMYFUNCTION("""COMPUTED_VALUE"""),"SITIO RFI")</f>
        <v>SITIO RFI</v>
      </c>
      <c r="F504" s="19" t="str">
        <f>IFERROR(__xludf.DUMMYFUNCTION("""COMPUTED_VALUE"""),"RFI")</f>
        <v>RFI</v>
      </c>
      <c r="G504" s="19" t="str">
        <f>IFERROR(__xludf.DUMMYFUNCTION("""COMPUTED_VALUE"""),"AS60")</f>
        <v>AS60</v>
      </c>
      <c r="H504" s="19" t="str">
        <f>IFERROR(__xludf.DUMMYFUNCTION("""COMPUTED_VALUE"""),"MER")</f>
        <v>MER</v>
      </c>
      <c r="I504" s="19" t="str">
        <f>IFERROR(__xludf.DUMMYFUNCTION("""COMPUTED_VALUE"""),"Entregada")</f>
        <v>Entregada</v>
      </c>
      <c r="J504" s="20">
        <f>IFERROR(__xludf.DUMMYFUNCTION("""COMPUTED_VALUE"""),44666.0)</f>
        <v>44666</v>
      </c>
      <c r="K504" s="19" t="str">
        <f>IFERROR(__xludf.DUMMYFUNCTION("""COMPUTED_VALUE"""),"Entregada")</f>
        <v>Entregada</v>
      </c>
      <c r="L504" s="20">
        <f>IFERROR(__xludf.DUMMYFUNCTION("""COMPUTED_VALUE"""),44708.0)</f>
        <v>44708</v>
      </c>
      <c r="M504" s="19" t="str">
        <f>IFERROR(__xludf.DUMMYFUNCTION("""COMPUTED_VALUE"""),"PCM")</f>
        <v>PCM</v>
      </c>
      <c r="N504" s="19" t="str">
        <f>IFERROR(__xludf.DUMMYFUNCTION("""COMPUTED_VALUE"""),"PRIORIDAD 1 Q3 2023 OCTUBRE")</f>
        <v>PRIORIDAD 1 Q3 2023 OCTUBRE</v>
      </c>
    </row>
    <row r="505" ht="15.75" customHeight="1">
      <c r="A505" s="19" t="str">
        <f>IFERROR(__xludf.DUMMYFUNCTION("""COMPUTED_VALUE"""),"AB_9867")</f>
        <v>AB_9867</v>
      </c>
      <c r="B505" s="19" t="str">
        <f>IFERROR(__xludf.DUMMYFUNCTION("""COMPUTED_VALUE"""),"AB_9867_B")</f>
        <v>AB_9867_B</v>
      </c>
      <c r="C505" s="19" t="str">
        <f>IFERROR(__xludf.DUMMYFUNCTION("""COMPUTED_VALUE"""),"LL9867")</f>
        <v>LL9867</v>
      </c>
      <c r="D505" s="19" t="str">
        <f>IFERROR(__xludf.DUMMYFUNCTION("""COMPUTED_VALUE"""),"LLOO Linea Solar")</f>
        <v>LLOO Linea Solar</v>
      </c>
      <c r="E505" s="19" t="str">
        <f>IFERROR(__xludf.DUMMYFUNCTION("""COMPUTED_VALUE"""),"SITIO RFI")</f>
        <v>SITIO RFI</v>
      </c>
      <c r="F505" s="19" t="str">
        <f>IFERROR(__xludf.DUMMYFUNCTION("""COMPUTED_VALUE"""),"RFI")</f>
        <v>RFI</v>
      </c>
      <c r="G505" s="19" t="str">
        <f>IFERROR(__xludf.DUMMYFUNCTION("""COMPUTED_VALUE"""),"AS60")</f>
        <v>AS60</v>
      </c>
      <c r="H505" s="19" t="str">
        <f>IFERROR(__xludf.DUMMYFUNCTION("""COMPUTED_VALUE"""),"MER")</f>
        <v>MER</v>
      </c>
      <c r="I505" s="19" t="str">
        <f>IFERROR(__xludf.DUMMYFUNCTION("""COMPUTED_VALUE"""),"Entregada")</f>
        <v>Entregada</v>
      </c>
      <c r="J505" s="20">
        <f>IFERROR(__xludf.DUMMYFUNCTION("""COMPUTED_VALUE"""),44722.0)</f>
        <v>44722</v>
      </c>
      <c r="K505" s="19" t="str">
        <f>IFERROR(__xludf.DUMMYFUNCTION("""COMPUTED_VALUE"""),"Entregada")</f>
        <v>Entregada</v>
      </c>
      <c r="L505" s="20">
        <f>IFERROR(__xludf.DUMMYFUNCTION("""COMPUTED_VALUE"""),44736.0)</f>
        <v>44736</v>
      </c>
      <c r="M505" s="19" t="str">
        <f>IFERROR(__xludf.DUMMYFUNCTION("""COMPUTED_VALUE"""),"LLOO")</f>
        <v>LLOO</v>
      </c>
      <c r="N505" s="19" t="str">
        <f>IFERROR(__xludf.DUMMYFUNCTION("""COMPUTED_VALUE"""),"PRIORIDAD 1 Q3 2023 OCTUBRE")</f>
        <v>PRIORIDAD 1 Q3 2023 OCTUBRE</v>
      </c>
    </row>
    <row r="506" ht="15.75" customHeight="1">
      <c r="A506" s="19" t="str">
        <f>IFERROR(__xludf.DUMMYFUNCTION("""COMPUTED_VALUE"""),"AB_9811")</f>
        <v>AB_9811</v>
      </c>
      <c r="B506" s="19" t="str">
        <f>IFERROR(__xludf.DUMMYFUNCTION("""COMPUTED_VALUE"""),"AB_9811_C")</f>
        <v>AB_9811_C</v>
      </c>
      <c r="C506" s="19" t="str">
        <f>IFERROR(__xludf.DUMMYFUNCTION("""COMPUTED_VALUE"""),"CO9811")</f>
        <v>CO9811</v>
      </c>
      <c r="D506" s="19" t="str">
        <f>IFERROR(__xludf.DUMMYFUNCTION("""COMPUTED_VALUE"""),"El pangue Pahuano ")</f>
        <v>El pangue Pahuano </v>
      </c>
      <c r="E506" s="19" t="str">
        <f>IFERROR(__xludf.DUMMYFUNCTION("""COMPUTED_VALUE"""),"SITIO RFI")</f>
        <v>SITIO RFI</v>
      </c>
      <c r="F506" s="19" t="str">
        <f>IFERROR(__xludf.DUMMYFUNCTION("""COMPUTED_VALUE"""),"HORMIGONADO")</f>
        <v>HORMIGONADO</v>
      </c>
      <c r="G506" s="19" t="str">
        <f>IFERROR(__xludf.DUMMYFUNCTION("""COMPUTED_VALUE"""),"CV18")</f>
        <v>CV18</v>
      </c>
      <c r="H506" s="19" t="str">
        <f>IFERROR(__xludf.DUMMYFUNCTION("""COMPUTED_VALUE"""),"ADM")</f>
        <v>ADM</v>
      </c>
      <c r="I506" s="19" t="str">
        <f>IFERROR(__xludf.DUMMYFUNCTION("""COMPUTED_VALUE"""),"Terminada")</f>
        <v>Terminada</v>
      </c>
      <c r="J506" s="20">
        <f>IFERROR(__xludf.DUMMYFUNCTION("""COMPUTED_VALUE"""),44774.0)</f>
        <v>44774</v>
      </c>
      <c r="K506" s="19" t="str">
        <f>IFERROR(__xludf.DUMMYFUNCTION("""COMPUTED_VALUE"""),"Terminada")</f>
        <v>Terminada</v>
      </c>
      <c r="L506" s="20">
        <f>IFERROR(__xludf.DUMMYFUNCTION("""COMPUTED_VALUE"""),44774.0)</f>
        <v>44774</v>
      </c>
      <c r="M506" s="19" t="str">
        <f>IFERROR(__xludf.DUMMYFUNCTION("""COMPUTED_VALUE"""),"LLOO")</f>
        <v>LLOO</v>
      </c>
      <c r="N506" s="19" t="str">
        <f>IFERROR(__xludf.DUMMYFUNCTION("""COMPUTED_VALUE"""),"PRIORIDAD 1 Q3 2023 OCTUBRE")</f>
        <v>PRIORIDAD 1 Q3 2023 OCTUBRE</v>
      </c>
    </row>
    <row r="507" ht="15.75" customHeight="1">
      <c r="A507" s="19" t="str">
        <f>IFERROR(__xludf.DUMMYFUNCTION("""COMPUTED_VALUE"""),"AB_9870")</f>
        <v>AB_9870</v>
      </c>
      <c r="B507" s="19" t="str">
        <f>IFERROR(__xludf.DUMMYFUNCTION("""COMPUTED_VALUE"""),"AB_9870_C")</f>
        <v>AB_9870_C</v>
      </c>
      <c r="C507" s="19" t="str">
        <f>IFERROR(__xludf.DUMMYFUNCTION("""COMPUTED_VALUE"""),"LL9870")</f>
        <v>LL9870</v>
      </c>
      <c r="D507" s="19" t="str">
        <f>IFERROR(__xludf.DUMMYFUNCTION("""COMPUTED_VALUE"""),"LLOO Puerto Ramirez")</f>
        <v>LLOO Puerto Ramirez</v>
      </c>
      <c r="E507" s="19" t="str">
        <f>IFERROR(__xludf.DUMMYFUNCTION("""COMPUTED_VALUE"""),"SITIO RFI")</f>
        <v>SITIO RFI</v>
      </c>
      <c r="F507" s="19" t="str">
        <f>IFERROR(__xludf.DUMMYFUNCTION("""COMPUTED_VALUE"""),"RFI")</f>
        <v>RFI</v>
      </c>
      <c r="G507" s="19" t="str">
        <f>IFERROR(__xludf.DUMMYFUNCTION("""COMPUTED_VALUE"""),"CV60")</f>
        <v>CV60</v>
      </c>
      <c r="H507" s="19" t="str">
        <f>IFERROR(__xludf.DUMMYFUNCTION("""COMPUTED_VALUE"""),"DEPROMET")</f>
        <v>DEPROMET</v>
      </c>
      <c r="I507" s="19" t="str">
        <f>IFERROR(__xludf.DUMMYFUNCTION("""COMPUTED_VALUE"""),"Entregada")</f>
        <v>Entregada</v>
      </c>
      <c r="J507" s="20">
        <f>IFERROR(__xludf.DUMMYFUNCTION("""COMPUTED_VALUE"""),44708.0)</f>
        <v>44708</v>
      </c>
      <c r="K507" s="19" t="str">
        <f>IFERROR(__xludf.DUMMYFUNCTION("""COMPUTED_VALUE"""),"Entregada")</f>
        <v>Entregada</v>
      </c>
      <c r="L507" s="20">
        <f>IFERROR(__xludf.DUMMYFUNCTION("""COMPUTED_VALUE"""),44764.0)</f>
        <v>44764</v>
      </c>
      <c r="M507" s="19" t="str">
        <f>IFERROR(__xludf.DUMMYFUNCTION("""COMPUTED_VALUE"""),"PCM")</f>
        <v>PCM</v>
      </c>
      <c r="N507" s="19" t="str">
        <f>IFERROR(__xludf.DUMMYFUNCTION("""COMPUTED_VALUE"""),"PRIORIDAD 1 Q3 2023 OCTUBRE")</f>
        <v>PRIORIDAD 1 Q3 2023 OCTUBRE</v>
      </c>
    </row>
    <row r="508" ht="15.75" customHeight="1">
      <c r="A508" s="19" t="str">
        <f>IFERROR(__xludf.DUMMYFUNCTION("""COMPUTED_VALUE"""),"AB_9833")</f>
        <v>AB_9833</v>
      </c>
      <c r="B508" s="19" t="str">
        <f>IFERROR(__xludf.DUMMYFUNCTION("""COMPUTED_VALUE"""),"AB_9833_D")</f>
        <v>AB_9833_D</v>
      </c>
      <c r="C508" s="19" t="str">
        <f>IFERROR(__xludf.DUMMYFUNCTION("""COMPUTED_VALUE"""),"CO9833")</f>
        <v>CO9833</v>
      </c>
      <c r="D508" s="19" t="str">
        <f>IFERROR(__xludf.DUMMYFUNCTION("""COMPUTED_VALUE"""),"Las Cardas Pueblo")</f>
        <v>Las Cardas Pueblo</v>
      </c>
      <c r="E508" s="19" t="str">
        <f>IFERROR(__xludf.DUMMYFUNCTION("""COMPUTED_VALUE"""),"SITIO RFI")</f>
        <v>SITIO RFI</v>
      </c>
      <c r="F508" s="19" t="str">
        <f>IFERROR(__xludf.DUMMYFUNCTION("""COMPUTED_VALUE"""),"CIERRE")</f>
        <v>CIERRE</v>
      </c>
      <c r="G508" s="19" t="str">
        <f>IFERROR(__xludf.DUMMYFUNCTION("""COMPUTED_VALUE"""),"AS42")</f>
        <v>AS42</v>
      </c>
      <c r="H508" s="19" t="str">
        <f>IFERROR(__xludf.DUMMYFUNCTION("""COMPUTED_VALUE"""),"MER")</f>
        <v>MER</v>
      </c>
      <c r="I508" s="19" t="str">
        <f>IFERROR(__xludf.DUMMYFUNCTION("""COMPUTED_VALUE"""),"Entregada")</f>
        <v>Entregada</v>
      </c>
      <c r="J508" s="20">
        <f>IFERROR(__xludf.DUMMYFUNCTION("""COMPUTED_VALUE"""),44803.0)</f>
        <v>44803</v>
      </c>
      <c r="K508" s="19" t="str">
        <f>IFERROR(__xludf.DUMMYFUNCTION("""COMPUTED_VALUE"""),"Entregada")</f>
        <v>Entregada</v>
      </c>
      <c r="L508" s="20">
        <f>IFERROR(__xludf.DUMMYFUNCTION("""COMPUTED_VALUE"""),44797.0)</f>
        <v>44797</v>
      </c>
      <c r="M508" s="19" t="str">
        <f>IFERROR(__xludf.DUMMYFUNCTION("""COMPUTED_VALUE"""),"LLOO")</f>
        <v>LLOO</v>
      </c>
      <c r="N508" s="19" t="str">
        <f>IFERROR(__xludf.DUMMYFUNCTION("""COMPUTED_VALUE"""),"PRIORIDAD 1 Q3 2023 OCTUBRE")</f>
        <v>PRIORIDAD 1 Q3 2023 OCTUBRE</v>
      </c>
    </row>
    <row r="509" ht="15.75" customHeight="1">
      <c r="A509" s="19" t="str">
        <f>IFERROR(__xludf.DUMMYFUNCTION("""COMPUTED_VALUE"""),"AB_6578")</f>
        <v>AB_6578</v>
      </c>
      <c r="B509" s="19" t="str">
        <f>IFERROR(__xludf.DUMMYFUNCTION("""COMPUTED_VALUE"""),"AB_6578_B")</f>
        <v>AB_6578_B</v>
      </c>
      <c r="C509" s="19" t="str">
        <f>IFERROR(__xludf.DUMMYFUNCTION("""COMPUTED_VALUE"""),"LL6578")</f>
        <v>LL6578</v>
      </c>
      <c r="D509" s="19" t="str">
        <f>IFERROR(__xludf.DUMMYFUNCTION("""COMPUTED_VALUE"""),"Rio Azul")</f>
        <v>Rio Azul</v>
      </c>
      <c r="E509" s="19" t="str">
        <f>IFERROR(__xludf.DUMMYFUNCTION("""COMPUTED_VALUE"""),"SITIO CONSTRUIDO")</f>
        <v>SITIO CONSTRUIDO</v>
      </c>
      <c r="F509" s="19" t="str">
        <f>IFERROR(__xludf.DUMMYFUNCTION("""COMPUTED_VALUE"""),"ENFIERRADURA")</f>
        <v>ENFIERRADURA</v>
      </c>
      <c r="G509" s="19" t="str">
        <f>IFERROR(__xludf.DUMMYFUNCTION("""COMPUTED_VALUE"""),"CV60")</f>
        <v>CV60</v>
      </c>
      <c r="H509" s="19" t="str">
        <f>IFERROR(__xludf.DUMMYFUNCTION("""COMPUTED_VALUE"""),"DEPROMET")</f>
        <v>DEPROMET</v>
      </c>
      <c r="I509" s="19" t="str">
        <f>IFERROR(__xludf.DUMMYFUNCTION("""COMPUTED_VALUE"""),"Terminada")</f>
        <v>Terminada</v>
      </c>
      <c r="J509" s="20">
        <f>IFERROR(__xludf.DUMMYFUNCTION("""COMPUTED_VALUE"""),44883.0)</f>
        <v>44883</v>
      </c>
      <c r="K509" s="19" t="str">
        <f>IFERROR(__xludf.DUMMYFUNCTION("""COMPUTED_VALUE"""),"Terminada")</f>
        <v>Terminada</v>
      </c>
      <c r="L509" s="20">
        <f>IFERROR(__xludf.DUMMYFUNCTION("""COMPUTED_VALUE"""),44904.0)</f>
        <v>44904</v>
      </c>
      <c r="M509" s="19" t="str">
        <f>IFERROR(__xludf.DUMMYFUNCTION("""COMPUTED_VALUE"""),"LLOO")</f>
        <v>LLOO</v>
      </c>
      <c r="N509" s="19" t="str">
        <f>IFERROR(__xludf.DUMMYFUNCTION("""COMPUTED_VALUE"""),"PRIORIDAD 1 Q3 2023 OCTUBRE")</f>
        <v>PRIORIDAD 1 Q3 2023 OCTUBRE</v>
      </c>
    </row>
    <row r="510" ht="15.75" customHeight="1">
      <c r="A510" s="19" t="str">
        <f>IFERROR(__xludf.DUMMYFUNCTION("""COMPUTED_VALUE"""),"AB_9850")</f>
        <v>AB_9850</v>
      </c>
      <c r="B510" s="19" t="str">
        <f>IFERROR(__xludf.DUMMYFUNCTION("""COMPUTED_VALUE"""),"AB_9850_C")</f>
        <v>AB_9850_C</v>
      </c>
      <c r="C510" s="19" t="str">
        <f>IFERROR(__xludf.DUMMYFUNCTION("""COMPUTED_VALUE"""),"LL9850")</f>
        <v>LL9850</v>
      </c>
      <c r="D510" s="19" t="str">
        <f>IFERROR(__xludf.DUMMYFUNCTION("""COMPUTED_VALUE"""),"LLOO Pucatrihue")</f>
        <v>LLOO Pucatrihue</v>
      </c>
      <c r="E510" s="19" t="str">
        <f>IFERROR(__xludf.DUMMYFUNCTION("""COMPUTED_VALUE"""),"SITIO CONSTRUIDO")</f>
        <v>SITIO CONSTRUIDO</v>
      </c>
      <c r="F510" s="19" t="str">
        <f>IFERROR(__xludf.DUMMYFUNCTION("""COMPUTED_VALUE"""),"MONTAJE")</f>
        <v>MONTAJE</v>
      </c>
      <c r="G510" s="19" t="str">
        <f>IFERROR(__xludf.DUMMYFUNCTION("""COMPUTED_VALUE"""),"CV54")</f>
        <v>CV54</v>
      </c>
      <c r="H510" s="19" t="str">
        <f>IFERROR(__xludf.DUMMYFUNCTION("""COMPUTED_VALUE"""),"AJ")</f>
        <v>AJ</v>
      </c>
      <c r="I510" s="19" t="str">
        <f>IFERROR(__xludf.DUMMYFUNCTION("""COMPUTED_VALUE"""),"Entregada")</f>
        <v>Entregada</v>
      </c>
      <c r="J510" s="20">
        <f>IFERROR(__xludf.DUMMYFUNCTION("""COMPUTED_VALUE"""),44771.0)</f>
        <v>44771</v>
      </c>
      <c r="K510" s="19" t="str">
        <f>IFERROR(__xludf.DUMMYFUNCTION("""COMPUTED_VALUE"""),"Entregada")</f>
        <v>Entregada</v>
      </c>
      <c r="L510" s="20">
        <f>IFERROR(__xludf.DUMMYFUNCTION("""COMPUTED_VALUE"""),44889.0)</f>
        <v>44889</v>
      </c>
      <c r="M510" s="19" t="str">
        <f>IFERROR(__xludf.DUMMYFUNCTION("""COMPUTED_VALUE"""),"LLOO")</f>
        <v>LLOO</v>
      </c>
      <c r="N510" s="19" t="str">
        <f>IFERROR(__xludf.DUMMYFUNCTION("""COMPUTED_VALUE"""),"PRIORIDAD 1 Q3 2023 OCTUBRE")</f>
        <v>PRIORIDAD 1 Q3 2023 OCTUBRE</v>
      </c>
    </row>
    <row r="511" ht="15.75" customHeight="1">
      <c r="A511" s="19" t="str">
        <f>IFERROR(__xludf.DUMMYFUNCTION("""COMPUTED_VALUE"""),"AB_9860")</f>
        <v>AB_9860</v>
      </c>
      <c r="B511" s="19" t="str">
        <f>IFERROR(__xludf.DUMMYFUNCTION("""COMPUTED_VALUE"""),"AB_9860_A")</f>
        <v>AB_9860_A</v>
      </c>
      <c r="C511" s="19" t="str">
        <f>IFERROR(__xludf.DUMMYFUNCTION("""COMPUTED_VALUE"""),"LL9860")</f>
        <v>LL9860</v>
      </c>
      <c r="D511" s="19" t="str">
        <f>IFERROR(__xludf.DUMMYFUNCTION("""COMPUTED_VALUE"""),"LLOO Aguas Buenas")</f>
        <v>LLOO Aguas Buenas</v>
      </c>
      <c r="E511" s="19" t="str">
        <f>IFERROR(__xludf.DUMMYFUNCTION("""COMPUTED_VALUE"""),"SITIO CONSTRUIDO")</f>
        <v>SITIO CONSTRUIDO</v>
      </c>
      <c r="F511" s="19" t="str">
        <f>IFERROR(__xludf.DUMMYFUNCTION("""COMPUTED_VALUE"""),"MONTAJE")</f>
        <v>MONTAJE</v>
      </c>
      <c r="G511" s="19" t="str">
        <f>IFERROR(__xludf.DUMMYFUNCTION("""COMPUTED_VALUE"""),"AS60")</f>
        <v>AS60</v>
      </c>
      <c r="H511" s="19" t="str">
        <f>IFERROR(__xludf.DUMMYFUNCTION("""COMPUTED_VALUE"""),"MER")</f>
        <v>MER</v>
      </c>
      <c r="I511" s="19" t="str">
        <f>IFERROR(__xludf.DUMMYFUNCTION("""COMPUTED_VALUE"""),"Entregada")</f>
        <v>Entregada</v>
      </c>
      <c r="J511" s="20">
        <f>IFERROR(__xludf.DUMMYFUNCTION("""COMPUTED_VALUE"""),44881.0)</f>
        <v>44881</v>
      </c>
      <c r="K511" s="19" t="str">
        <f>IFERROR(__xludf.DUMMYFUNCTION("""COMPUTED_VALUE"""),"Entregada")</f>
        <v>Entregada</v>
      </c>
      <c r="L511" s="20">
        <f>IFERROR(__xludf.DUMMYFUNCTION("""COMPUTED_VALUE"""),44883.0)</f>
        <v>44883</v>
      </c>
      <c r="M511" s="19" t="str">
        <f>IFERROR(__xludf.DUMMYFUNCTION("""COMPUTED_VALUE"""),"LLOO")</f>
        <v>LLOO</v>
      </c>
      <c r="N511" s="19" t="str">
        <f>IFERROR(__xludf.DUMMYFUNCTION("""COMPUTED_VALUE"""),"PRIORIDAD 1 Q3 2023 OCTUBRE")</f>
        <v>PRIORIDAD 1 Q3 2023 OCTUBRE</v>
      </c>
    </row>
    <row r="512" ht="15.75" customHeight="1">
      <c r="A512" s="19" t="str">
        <f>IFERROR(__xludf.DUMMYFUNCTION("""COMPUTED_VALUE"""),"AB_9902")</f>
        <v>AB_9902</v>
      </c>
      <c r="B512" s="19" t="str">
        <f>IFERROR(__xludf.DUMMYFUNCTION("""COMPUTED_VALUE"""),"AB_9902_A")</f>
        <v>AB_9902_A</v>
      </c>
      <c r="C512" s="19" t="str">
        <f>IFERROR(__xludf.DUMMYFUNCTION("""COMPUTED_VALUE"""),"LL9902")</f>
        <v>LL9902</v>
      </c>
      <c r="D512" s="19" t="str">
        <f>IFERROR(__xludf.DUMMYFUNCTION("""COMPUTED_VALUE"""),"LLOO Las Gualas")</f>
        <v>LLOO Las Gualas</v>
      </c>
      <c r="E512" s="19" t="str">
        <f>IFERROR(__xludf.DUMMYFUNCTION("""COMPUTED_VALUE"""),"SITIO RFI")</f>
        <v>SITIO RFI</v>
      </c>
      <c r="F512" s="19" t="str">
        <f>IFERROR(__xludf.DUMMYFUNCTION("""COMPUTED_VALUE"""),"RFI")</f>
        <v>RFI</v>
      </c>
      <c r="G512" s="19" t="str">
        <f>IFERROR(__xludf.DUMMYFUNCTION("""COMPUTED_VALUE"""),"CV60")</f>
        <v>CV60</v>
      </c>
      <c r="H512" s="19" t="str">
        <f>IFERROR(__xludf.DUMMYFUNCTION("""COMPUTED_VALUE"""),"DEPROMET")</f>
        <v>DEPROMET</v>
      </c>
      <c r="I512" s="19" t="str">
        <f>IFERROR(__xludf.DUMMYFUNCTION("""COMPUTED_VALUE"""),"Entregada")</f>
        <v>Entregada</v>
      </c>
      <c r="J512" s="20">
        <f>IFERROR(__xludf.DUMMYFUNCTION("""COMPUTED_VALUE"""),44855.0)</f>
        <v>44855</v>
      </c>
      <c r="K512" s="19" t="str">
        <f>IFERROR(__xludf.DUMMYFUNCTION("""COMPUTED_VALUE"""),"Entregada")</f>
        <v>Entregada</v>
      </c>
      <c r="L512" s="20">
        <f>IFERROR(__xludf.DUMMYFUNCTION("""COMPUTED_VALUE"""),44856.0)</f>
        <v>44856</v>
      </c>
      <c r="M512" s="19" t="str">
        <f>IFERROR(__xludf.DUMMYFUNCTION("""COMPUTED_VALUE"""),"LLOO")</f>
        <v>LLOO</v>
      </c>
      <c r="N512" s="19" t="str">
        <f>IFERROR(__xludf.DUMMYFUNCTION("""COMPUTED_VALUE"""),"PRIORIDAD 1 Q3 2023 OCTUBRE")</f>
        <v>PRIORIDAD 1 Q3 2023 OCTUBRE</v>
      </c>
    </row>
    <row r="513" ht="15.75" customHeight="1">
      <c r="A513" s="19" t="str">
        <f>IFERROR(__xludf.DUMMYFUNCTION("""COMPUTED_VALUE"""),"AB_9869")</f>
        <v>AB_9869</v>
      </c>
      <c r="B513" s="19" t="str">
        <f>IFERROR(__xludf.DUMMYFUNCTION("""COMPUTED_VALUE"""),"AB_9869_E")</f>
        <v>AB_9869_E</v>
      </c>
      <c r="C513" s="19" t="str">
        <f>IFERROR(__xludf.DUMMYFUNCTION("""COMPUTED_VALUE"""),"LL9869")</f>
        <v>LL9869</v>
      </c>
      <c r="D513" s="19" t="str">
        <f>IFERROR(__xludf.DUMMYFUNCTION("""COMPUTED_VALUE"""),"LLOO Rio Azul")</f>
        <v>LLOO Rio Azul</v>
      </c>
      <c r="E513" s="19" t="str">
        <f>IFERROR(__xludf.DUMMYFUNCTION("""COMPUTED_VALUE"""),"SITIO CONSTRUIDO")</f>
        <v>SITIO CONSTRUIDO</v>
      </c>
      <c r="F513" s="19" t="str">
        <f>IFERROR(__xludf.DUMMYFUNCTION("""COMPUTED_VALUE"""),"ENFIERRADURA")</f>
        <v>ENFIERRADURA</v>
      </c>
      <c r="G513" s="19" t="str">
        <f>IFERROR(__xludf.DUMMYFUNCTION("""COMPUTED_VALUE"""),"CV60")</f>
        <v>CV60</v>
      </c>
      <c r="H513" s="19" t="str">
        <f>IFERROR(__xludf.DUMMYFUNCTION("""COMPUTED_VALUE"""),"DEPROMET")</f>
        <v>DEPROMET</v>
      </c>
      <c r="I513" s="19" t="str">
        <f>IFERROR(__xludf.DUMMYFUNCTION("""COMPUTED_VALUE"""),"Terminada")</f>
        <v>Terminada</v>
      </c>
      <c r="J513" s="20">
        <f>IFERROR(__xludf.DUMMYFUNCTION("""COMPUTED_VALUE"""),44893.0)</f>
        <v>44893</v>
      </c>
      <c r="K513" s="19" t="str">
        <f>IFERROR(__xludf.DUMMYFUNCTION("""COMPUTED_VALUE"""),"Terminada")</f>
        <v>Terminada</v>
      </c>
      <c r="L513" s="20">
        <f>IFERROR(__xludf.DUMMYFUNCTION("""COMPUTED_VALUE"""),44911.0)</f>
        <v>44911</v>
      </c>
      <c r="M513" s="19" t="str">
        <f>IFERROR(__xludf.DUMMYFUNCTION("""COMPUTED_VALUE"""),"PCM_2")</f>
        <v>PCM_2</v>
      </c>
      <c r="N513" s="19" t="str">
        <f>IFERROR(__xludf.DUMMYFUNCTION("""COMPUTED_VALUE"""),"PRIORIDAD 1 Q3 2023 OCTUBRE")</f>
        <v>PRIORIDAD 1 Q3 2023 OCTUBRE</v>
      </c>
    </row>
    <row r="514" ht="15.75" customHeight="1">
      <c r="A514" s="19" t="str">
        <f>IFERROR(__xludf.DUMMYFUNCTION("""COMPUTED_VALUE"""),"AB_9905")</f>
        <v>AB_9905</v>
      </c>
      <c r="B514" s="19" t="str">
        <f>IFERROR(__xludf.DUMMYFUNCTION("""COMPUTED_VALUE"""),"AB_9905_B")</f>
        <v>AB_9905_B</v>
      </c>
      <c r="C514" s="19" t="str">
        <f>IFERROR(__xludf.DUMMYFUNCTION("""COMPUTED_VALUE"""),"LL9905")</f>
        <v>LL9905</v>
      </c>
      <c r="D514" s="19" t="str">
        <f>IFERROR(__xludf.DUMMYFUNCTION("""COMPUTED_VALUE"""),"LLOO Huillinco")</f>
        <v>LLOO Huillinco</v>
      </c>
      <c r="E514" s="19" t="str">
        <f>IFERROR(__xludf.DUMMYFUNCTION("""COMPUTED_VALUE"""),"SITIO RFI")</f>
        <v>SITIO RFI</v>
      </c>
      <c r="F514" s="19" t="str">
        <f>IFERROR(__xludf.DUMMYFUNCTION("""COMPUTED_VALUE"""),"RFI")</f>
        <v>RFI</v>
      </c>
      <c r="G514" s="19" t="str">
        <f>IFERROR(__xludf.DUMMYFUNCTION("""COMPUTED_VALUE"""),"AS60")</f>
        <v>AS60</v>
      </c>
      <c r="H514" s="19" t="str">
        <f>IFERROR(__xludf.DUMMYFUNCTION("""COMPUTED_VALUE"""),"MER")</f>
        <v>MER</v>
      </c>
      <c r="I514" s="19" t="str">
        <f>IFERROR(__xludf.DUMMYFUNCTION("""COMPUTED_VALUE"""),"Entregada")</f>
        <v>Entregada</v>
      </c>
      <c r="J514" s="20">
        <f>IFERROR(__xludf.DUMMYFUNCTION("""COMPUTED_VALUE"""),44697.0)</f>
        <v>44697</v>
      </c>
      <c r="K514" s="19" t="str">
        <f>IFERROR(__xludf.DUMMYFUNCTION("""COMPUTED_VALUE"""),"Entregada")</f>
        <v>Entregada</v>
      </c>
      <c r="L514" s="20">
        <f>IFERROR(__xludf.DUMMYFUNCTION("""COMPUTED_VALUE"""),44715.0)</f>
        <v>44715</v>
      </c>
      <c r="M514" s="19" t="str">
        <f>IFERROR(__xludf.DUMMYFUNCTION("""COMPUTED_VALUE"""),"LLOO")</f>
        <v>LLOO</v>
      </c>
      <c r="N514" s="19" t="str">
        <f>IFERROR(__xludf.DUMMYFUNCTION("""COMPUTED_VALUE"""),"PRIORIDAD 1 Q3 2023 OCTUBRE")</f>
        <v>PRIORIDAD 1 Q3 2023 OCTUBRE</v>
      </c>
    </row>
    <row r="515" ht="15.75" customHeight="1">
      <c r="A515" s="19" t="str">
        <f>IFERROR(__xludf.DUMMYFUNCTION("""COMPUTED_VALUE"""),"AB_9906")</f>
        <v>AB_9906</v>
      </c>
      <c r="B515" s="19" t="str">
        <f>IFERROR(__xludf.DUMMYFUNCTION("""COMPUTED_VALUE"""),"AB_9906_A")</f>
        <v>AB_9906_A</v>
      </c>
      <c r="C515" s="19" t="str">
        <f>IFERROR(__xludf.DUMMYFUNCTION("""COMPUTED_VALUE"""),"LL9906")</f>
        <v>LL9906</v>
      </c>
      <c r="D515" s="19" t="str">
        <f>IFERROR(__xludf.DUMMYFUNCTION("""COMPUTED_VALUE"""),"LLOO Teguel")</f>
        <v>LLOO Teguel</v>
      </c>
      <c r="E515" s="19" t="str">
        <f>IFERROR(__xludf.DUMMYFUNCTION("""COMPUTED_VALUE"""),"SITIO RFI")</f>
        <v>SITIO RFI</v>
      </c>
      <c r="F515" s="19" t="str">
        <f>IFERROR(__xludf.DUMMYFUNCTION("""COMPUTED_VALUE"""),"RFI")</f>
        <v>RFI</v>
      </c>
      <c r="G515" s="19" t="str">
        <f>IFERROR(__xludf.DUMMYFUNCTION("""COMPUTED_VALUE"""),"AS60")</f>
        <v>AS60</v>
      </c>
      <c r="H515" s="19" t="str">
        <f>IFERROR(__xludf.DUMMYFUNCTION("""COMPUTED_VALUE"""),"MER")</f>
        <v>MER</v>
      </c>
      <c r="I515" s="19" t="str">
        <f>IFERROR(__xludf.DUMMYFUNCTION("""COMPUTED_VALUE"""),"Entregada")</f>
        <v>Entregada</v>
      </c>
      <c r="J515" s="20">
        <f>IFERROR(__xludf.DUMMYFUNCTION("""COMPUTED_VALUE"""),44708.0)</f>
        <v>44708</v>
      </c>
      <c r="K515" s="19" t="str">
        <f>IFERROR(__xludf.DUMMYFUNCTION("""COMPUTED_VALUE"""),"Entregada")</f>
        <v>Entregada</v>
      </c>
      <c r="L515" s="20">
        <f>IFERROR(__xludf.DUMMYFUNCTION("""COMPUTED_VALUE"""),44729.0)</f>
        <v>44729</v>
      </c>
      <c r="M515" s="19" t="str">
        <f>IFERROR(__xludf.DUMMYFUNCTION("""COMPUTED_VALUE"""),"PCM")</f>
        <v>PCM</v>
      </c>
      <c r="N515" s="19" t="str">
        <f>IFERROR(__xludf.DUMMYFUNCTION("""COMPUTED_VALUE"""),"PRIORIDAD 1 Q3 2023 OCTUBRE")</f>
        <v>PRIORIDAD 1 Q3 2023 OCTUBRE</v>
      </c>
    </row>
    <row r="516" ht="15.75" customHeight="1">
      <c r="A516" s="19" t="str">
        <f>IFERROR(__xludf.DUMMYFUNCTION("""COMPUTED_VALUE"""),"AB_9908")</f>
        <v>AB_9908</v>
      </c>
      <c r="B516" s="19" t="str">
        <f>IFERROR(__xludf.DUMMYFUNCTION("""COMPUTED_VALUE"""),"AB_9908_A")</f>
        <v>AB_9908_A</v>
      </c>
      <c r="C516" s="19" t="str">
        <f>IFERROR(__xludf.DUMMYFUNCTION("""COMPUTED_VALUE"""),"LL9908")</f>
        <v>LL9908</v>
      </c>
      <c r="D516" s="19" t="str">
        <f>IFERROR(__xludf.DUMMYFUNCTION("""COMPUTED_VALUE"""),"LLOO Terao")</f>
        <v>LLOO Terao</v>
      </c>
      <c r="E516" s="19" t="str">
        <f>IFERROR(__xludf.DUMMYFUNCTION("""COMPUTED_VALUE"""),"SITIO RFI")</f>
        <v>SITIO RFI</v>
      </c>
      <c r="F516" s="19" t="str">
        <f>IFERROR(__xludf.DUMMYFUNCTION("""COMPUTED_VALUE"""),"RFI")</f>
        <v>RFI</v>
      </c>
      <c r="G516" s="19" t="str">
        <f>IFERROR(__xludf.DUMMYFUNCTION("""COMPUTED_VALUE"""),"CV60")</f>
        <v>CV60</v>
      </c>
      <c r="H516" s="19" t="str">
        <f>IFERROR(__xludf.DUMMYFUNCTION("""COMPUTED_VALUE"""),"ADM")</f>
        <v>ADM</v>
      </c>
      <c r="I516" s="19" t="str">
        <f>IFERROR(__xludf.DUMMYFUNCTION("""COMPUTED_VALUE"""),"Entregada")</f>
        <v>Entregada</v>
      </c>
      <c r="J516" s="20">
        <f>IFERROR(__xludf.DUMMYFUNCTION("""COMPUTED_VALUE"""),44774.0)</f>
        <v>44774</v>
      </c>
      <c r="K516" s="19" t="str">
        <f>IFERROR(__xludf.DUMMYFUNCTION("""COMPUTED_VALUE"""),"Entregada")</f>
        <v>Entregada</v>
      </c>
      <c r="L516" s="20">
        <f>IFERROR(__xludf.DUMMYFUNCTION("""COMPUTED_VALUE"""),44869.0)</f>
        <v>44869</v>
      </c>
      <c r="M516" s="19" t="str">
        <f>IFERROR(__xludf.DUMMYFUNCTION("""COMPUTED_VALUE"""),"LLOO")</f>
        <v>LLOO</v>
      </c>
      <c r="N516" s="19" t="str">
        <f>IFERROR(__xludf.DUMMYFUNCTION("""COMPUTED_VALUE"""),"PRIORIDAD 1 Q3 2023 OCTUBRE")</f>
        <v>PRIORIDAD 1 Q3 2023 OCTUBRE</v>
      </c>
    </row>
    <row r="517" ht="15.75" customHeight="1">
      <c r="A517" s="19" t="str">
        <f>IFERROR(__xludf.DUMMYFUNCTION("""COMPUTED_VALUE"""),"AB_9871")</f>
        <v>AB_9871</v>
      </c>
      <c r="B517" s="19" t="str">
        <f>IFERROR(__xludf.DUMMYFUNCTION("""COMPUTED_VALUE"""),"AB_9871_A")</f>
        <v>AB_9871_A</v>
      </c>
      <c r="C517" s="19" t="str">
        <f>IFERROR(__xludf.DUMMYFUNCTION("""COMPUTED_VALUE"""),"LL9871")</f>
        <v>LL9871</v>
      </c>
      <c r="D517" s="19" t="str">
        <f>IFERROR(__xludf.DUMMYFUNCTION("""COMPUTED_VALUE"""),"LLOO El Valle - La Lobada")</f>
        <v>LLOO El Valle - La Lobada</v>
      </c>
      <c r="E517" s="19" t="str">
        <f>IFERROR(__xludf.DUMMYFUNCTION("""COMPUTED_VALUE"""),"SITIO RFI")</f>
        <v>SITIO RFI</v>
      </c>
      <c r="F517" s="19" t="str">
        <f>IFERROR(__xludf.DUMMYFUNCTION("""COMPUTED_VALUE"""),"CIERRE")</f>
        <v>CIERRE</v>
      </c>
      <c r="G517" s="19" t="str">
        <f>IFERROR(__xludf.DUMMYFUNCTION("""COMPUTED_VALUE"""),"CV48")</f>
        <v>CV48</v>
      </c>
      <c r="H517" s="19" t="str">
        <f>IFERROR(__xludf.DUMMYFUNCTION("""COMPUTED_VALUE"""),"MER")</f>
        <v>MER</v>
      </c>
      <c r="I517" s="19" t="str">
        <f>IFERROR(__xludf.DUMMYFUNCTION("""COMPUTED_VALUE"""),"Entregada")</f>
        <v>Entregada</v>
      </c>
      <c r="J517" s="20">
        <f>IFERROR(__xludf.DUMMYFUNCTION("""COMPUTED_VALUE"""),45051.0)</f>
        <v>45051</v>
      </c>
      <c r="K517" s="19" t="str">
        <f>IFERROR(__xludf.DUMMYFUNCTION("""COMPUTED_VALUE"""),"Entregada")</f>
        <v>Entregada</v>
      </c>
      <c r="L517" s="20">
        <f>IFERROR(__xludf.DUMMYFUNCTION("""COMPUTED_VALUE"""),45054.0)</f>
        <v>45054</v>
      </c>
      <c r="M517" s="19" t="str">
        <f>IFERROR(__xludf.DUMMYFUNCTION("""COMPUTED_VALUE"""),"LLOO")</f>
        <v>LLOO</v>
      </c>
      <c r="N517" s="19" t="str">
        <f>IFERROR(__xludf.DUMMYFUNCTION("""COMPUTED_VALUE"""),"PRIORIDAD 1 Q3 2023 OCTUBRE")</f>
        <v>PRIORIDAD 1 Q3 2023 OCTUBRE</v>
      </c>
    </row>
    <row r="518" ht="15.75" customHeight="1">
      <c r="A518" s="19" t="str">
        <f>IFERROR(__xludf.DUMMYFUNCTION("""COMPUTED_VALUE"""),"AB_9896")</f>
        <v>AB_9896</v>
      </c>
      <c r="B518" s="19" t="str">
        <f>IFERROR(__xludf.DUMMYFUNCTION("""COMPUTED_VALUE"""),"AB_9896_D")</f>
        <v>AB_9896_D</v>
      </c>
      <c r="C518" s="19" t="str">
        <f>IFERROR(__xludf.DUMMYFUNCTION("""COMPUTED_VALUE"""),"LL9896")</f>
        <v>LL9896</v>
      </c>
      <c r="D518" s="19" t="str">
        <f>IFERROR(__xludf.DUMMYFUNCTION("""COMPUTED_VALUE"""),"LLOO Cheñue")</f>
        <v>LLOO Cheñue</v>
      </c>
      <c r="E518" s="19" t="str">
        <f>IFERROR(__xludf.DUMMYFUNCTION("""COMPUTED_VALUE"""),"SITIO CONSTRUIDO")</f>
        <v>SITIO CONSTRUIDO</v>
      </c>
      <c r="F518" s="19" t="str">
        <f>IFERROR(__xludf.DUMMYFUNCTION("""COMPUTED_VALUE"""),"ENFIERRADURA")</f>
        <v>ENFIERRADURA</v>
      </c>
      <c r="G518" s="19" t="str">
        <f>IFERROR(__xludf.DUMMYFUNCTION("""COMPUTED_VALUE"""),"AS60")</f>
        <v>AS60</v>
      </c>
      <c r="H518" s="19" t="str">
        <f>IFERROR(__xludf.DUMMYFUNCTION("""COMPUTED_VALUE"""),"MER")</f>
        <v>MER</v>
      </c>
      <c r="I518" s="19" t="str">
        <f>IFERROR(__xludf.DUMMYFUNCTION("""COMPUTED_VALUE"""),"Entregada")</f>
        <v>Entregada</v>
      </c>
      <c r="J518" s="20">
        <f>IFERROR(__xludf.DUMMYFUNCTION("""COMPUTED_VALUE"""),44881.0)</f>
        <v>44881</v>
      </c>
      <c r="K518" s="19" t="str">
        <f>IFERROR(__xludf.DUMMYFUNCTION("""COMPUTED_VALUE"""),"Entregada")</f>
        <v>Entregada</v>
      </c>
      <c r="L518" s="20">
        <f>IFERROR(__xludf.DUMMYFUNCTION("""COMPUTED_VALUE"""),44890.0)</f>
        <v>44890</v>
      </c>
      <c r="M518" s="19" t="str">
        <f>IFERROR(__xludf.DUMMYFUNCTION("""COMPUTED_VALUE"""),"LLOO")</f>
        <v>LLOO</v>
      </c>
      <c r="N518" s="19" t="str">
        <f>IFERROR(__xludf.DUMMYFUNCTION("""COMPUTED_VALUE"""),"PRIORIDAD 1 Q3 2023 OCTUBRE")</f>
        <v>PRIORIDAD 1 Q3 2023 OCTUBRE</v>
      </c>
    </row>
    <row r="519" ht="15.75" customHeight="1">
      <c r="A519" s="19" t="str">
        <f>IFERROR(__xludf.DUMMYFUNCTION("""COMPUTED_VALUE"""),"AB_9911")</f>
        <v>AB_9911</v>
      </c>
      <c r="B519" s="19" t="str">
        <f>IFERROR(__xludf.DUMMYFUNCTION("""COMPUTED_VALUE"""),"AB_9911_A")</f>
        <v>AB_9911_A</v>
      </c>
      <c r="C519" s="19" t="str">
        <f>IFERROR(__xludf.DUMMYFUNCTION("""COMPUTED_VALUE"""),"LL9911")</f>
        <v>LL9911</v>
      </c>
      <c r="D519" s="19" t="str">
        <f>IFERROR(__xludf.DUMMYFUNCTION("""COMPUTED_VALUE"""),"LLOO Rauco")</f>
        <v>LLOO Rauco</v>
      </c>
      <c r="E519" s="19" t="str">
        <f>IFERROR(__xludf.DUMMYFUNCTION("""COMPUTED_VALUE"""),"SITIO RFI")</f>
        <v>SITIO RFI</v>
      </c>
      <c r="F519" s="19" t="str">
        <f>IFERROR(__xludf.DUMMYFUNCTION("""COMPUTED_VALUE"""),"RFI")</f>
        <v>RFI</v>
      </c>
      <c r="G519" s="19" t="str">
        <f>IFERROR(__xludf.DUMMYFUNCTION("""COMPUTED_VALUE"""),"CV42")</f>
        <v>CV42</v>
      </c>
      <c r="H519" s="19" t="str">
        <f>IFERROR(__xludf.DUMMYFUNCTION("""COMPUTED_VALUE"""),"SYC")</f>
        <v>SYC</v>
      </c>
      <c r="I519" s="19" t="str">
        <f>IFERROR(__xludf.DUMMYFUNCTION("""COMPUTED_VALUE"""),"Entregada")</f>
        <v>Entregada</v>
      </c>
      <c r="J519" s="20">
        <f>IFERROR(__xludf.DUMMYFUNCTION("""COMPUTED_VALUE"""),44862.0)</f>
        <v>44862</v>
      </c>
      <c r="K519" s="19" t="str">
        <f>IFERROR(__xludf.DUMMYFUNCTION("""COMPUTED_VALUE"""),"Entregada")</f>
        <v>Entregada</v>
      </c>
      <c r="L519" s="20">
        <f>IFERROR(__xludf.DUMMYFUNCTION("""COMPUTED_VALUE"""),44883.0)</f>
        <v>44883</v>
      </c>
      <c r="M519" s="19" t="str">
        <f>IFERROR(__xludf.DUMMYFUNCTION("""COMPUTED_VALUE"""),"LLOO")</f>
        <v>LLOO</v>
      </c>
      <c r="N519" s="19" t="str">
        <f>IFERROR(__xludf.DUMMYFUNCTION("""COMPUTED_VALUE"""),"PRIORIDAD 1 Q3 2023 OCTUBRE")</f>
        <v>PRIORIDAD 1 Q3 2023 OCTUBRE</v>
      </c>
    </row>
    <row r="520" ht="15.75" customHeight="1">
      <c r="A520" s="19" t="str">
        <f>IFERROR(__xludf.DUMMYFUNCTION("""COMPUTED_VALUE"""),"AB_9912")</f>
        <v>AB_9912</v>
      </c>
      <c r="B520" s="19" t="str">
        <f>IFERROR(__xludf.DUMMYFUNCTION("""COMPUTED_VALUE"""),"AB_9912_D")</f>
        <v>AB_9912_D</v>
      </c>
      <c r="C520" s="19" t="str">
        <f>IFERROR(__xludf.DUMMYFUNCTION("""COMPUTED_VALUE"""),"LL9912")</f>
        <v>LL9912</v>
      </c>
      <c r="D520" s="19" t="str">
        <f>IFERROR(__xludf.DUMMYFUNCTION("""COMPUTED_VALUE"""),"LLOO Chan chan")</f>
        <v>LLOO Chan chan</v>
      </c>
      <c r="E520" s="19" t="str">
        <f>IFERROR(__xludf.DUMMYFUNCTION("""COMPUTED_VALUE"""),"SITIO RFI")</f>
        <v>SITIO RFI</v>
      </c>
      <c r="F520" s="19" t="str">
        <f>IFERROR(__xludf.DUMMYFUNCTION("""COMPUTED_VALUE"""),"RFI")</f>
        <v>RFI</v>
      </c>
      <c r="G520" s="19" t="str">
        <f>IFERROR(__xludf.DUMMYFUNCTION("""COMPUTED_VALUE"""),"CV60")</f>
        <v>CV60</v>
      </c>
      <c r="H520" s="19" t="str">
        <f>IFERROR(__xludf.DUMMYFUNCTION("""COMPUTED_VALUE"""),"DEPROMET")</f>
        <v>DEPROMET</v>
      </c>
      <c r="I520" s="19" t="str">
        <f>IFERROR(__xludf.DUMMYFUNCTION("""COMPUTED_VALUE"""),"Entregada")</f>
        <v>Entregada</v>
      </c>
      <c r="J520" s="20">
        <f>IFERROR(__xludf.DUMMYFUNCTION("""COMPUTED_VALUE"""),44855.0)</f>
        <v>44855</v>
      </c>
      <c r="K520" s="19" t="str">
        <f>IFERROR(__xludf.DUMMYFUNCTION("""COMPUTED_VALUE"""),"Entregada")</f>
        <v>Entregada</v>
      </c>
      <c r="L520" s="20">
        <f>IFERROR(__xludf.DUMMYFUNCTION("""COMPUTED_VALUE"""),44855.0)</f>
        <v>44855</v>
      </c>
      <c r="M520" s="19" t="str">
        <f>IFERROR(__xludf.DUMMYFUNCTION("""COMPUTED_VALUE"""),"LLOO")</f>
        <v>LLOO</v>
      </c>
      <c r="N520" s="19" t="str">
        <f>IFERROR(__xludf.DUMMYFUNCTION("""COMPUTED_VALUE"""),"PRIORIDAD 1 Q3 2023 OCTUBRE")</f>
        <v>PRIORIDAD 1 Q3 2023 OCTUBRE</v>
      </c>
    </row>
    <row r="521" ht="15.75" customHeight="1">
      <c r="A521" s="19" t="str">
        <f>IFERROR(__xludf.DUMMYFUNCTION("""COMPUTED_VALUE"""),"AB_9913")</f>
        <v>AB_9913</v>
      </c>
      <c r="B521" s="19" t="str">
        <f>IFERROR(__xludf.DUMMYFUNCTION("""COMPUTED_VALUE"""),"AB_9913_B")</f>
        <v>AB_9913_B</v>
      </c>
      <c r="C521" s="19" t="str">
        <f>IFERROR(__xludf.DUMMYFUNCTION("""COMPUTED_VALUE"""),"LL9913")</f>
        <v>LL9913</v>
      </c>
      <c r="D521" s="19" t="str">
        <f>IFERROR(__xludf.DUMMYFUNCTION("""COMPUTED_VALUE"""),"LLOO Olmopulli")</f>
        <v>LLOO Olmopulli</v>
      </c>
      <c r="E521" s="19" t="str">
        <f>IFERROR(__xludf.DUMMYFUNCTION("""COMPUTED_VALUE"""),"SITIO RFI")</f>
        <v>SITIO RFI</v>
      </c>
      <c r="F521" s="19" t="str">
        <f>IFERROR(__xludf.DUMMYFUNCTION("""COMPUTED_VALUE"""),"RFI")</f>
        <v>RFI</v>
      </c>
      <c r="G521" s="19" t="str">
        <f>IFERROR(__xludf.DUMMYFUNCTION("""COMPUTED_VALUE"""),"AS48")</f>
        <v>AS48</v>
      </c>
      <c r="H521" s="19" t="str">
        <f>IFERROR(__xludf.DUMMYFUNCTION("""COMPUTED_VALUE"""),"METALING")</f>
        <v>METALING</v>
      </c>
      <c r="I521" s="19" t="str">
        <f>IFERROR(__xludf.DUMMYFUNCTION("""COMPUTED_VALUE"""),"Entregada")</f>
        <v>Entregada</v>
      </c>
      <c r="J521" s="20">
        <f>IFERROR(__xludf.DUMMYFUNCTION("""COMPUTED_VALUE"""),44869.0)</f>
        <v>44869</v>
      </c>
      <c r="K521" s="19" t="str">
        <f>IFERROR(__xludf.DUMMYFUNCTION("""COMPUTED_VALUE"""),"Entregada")</f>
        <v>Entregada</v>
      </c>
      <c r="L521" s="20">
        <f>IFERROR(__xludf.DUMMYFUNCTION("""COMPUTED_VALUE"""),44908.0)</f>
        <v>44908</v>
      </c>
      <c r="M521" s="19" t="str">
        <f>IFERROR(__xludf.DUMMYFUNCTION("""COMPUTED_VALUE"""),"LLOO")</f>
        <v>LLOO</v>
      </c>
      <c r="N521" s="19" t="str">
        <f>IFERROR(__xludf.DUMMYFUNCTION("""COMPUTED_VALUE"""),"PRIORIDAD 1 Q3 2023 OCTUBRE")</f>
        <v>PRIORIDAD 1 Q3 2023 OCTUBRE</v>
      </c>
    </row>
    <row r="522" ht="15.75" customHeight="1">
      <c r="A522" s="19" t="str">
        <f>IFERROR(__xludf.DUMMYFUNCTION("""COMPUTED_VALUE"""),"AB_9914")</f>
        <v>AB_9914</v>
      </c>
      <c r="B522" s="19" t="str">
        <f>IFERROR(__xludf.DUMMYFUNCTION("""COMPUTED_VALUE"""),"AB_9914_A")</f>
        <v>AB_9914_A</v>
      </c>
      <c r="C522" s="19" t="str">
        <f>IFERROR(__xludf.DUMMYFUNCTION("""COMPUTED_VALUE"""),"LL9914")</f>
        <v>LL9914</v>
      </c>
      <c r="D522" s="19" t="str">
        <f>IFERROR(__xludf.DUMMYFUNCTION("""COMPUTED_VALUE"""),"LLOO Huilma")</f>
        <v>LLOO Huilma</v>
      </c>
      <c r="E522" s="19" t="str">
        <f>IFERROR(__xludf.DUMMYFUNCTION("""COMPUTED_VALUE"""),"SITIO RFI")</f>
        <v>SITIO RFI</v>
      </c>
      <c r="F522" s="19" t="str">
        <f>IFERROR(__xludf.DUMMYFUNCTION("""COMPUTED_VALUE"""),"RFI")</f>
        <v>RFI</v>
      </c>
      <c r="G522" s="19" t="str">
        <f>IFERROR(__xludf.DUMMYFUNCTION("""COMPUTED_VALUE"""),"AS60")</f>
        <v>AS60</v>
      </c>
      <c r="H522" s="19" t="str">
        <f>IFERROR(__xludf.DUMMYFUNCTION("""COMPUTED_VALUE"""),"ADM")</f>
        <v>ADM</v>
      </c>
      <c r="I522" s="19" t="str">
        <f>IFERROR(__xludf.DUMMYFUNCTION("""COMPUTED_VALUE"""),"Entregada")</f>
        <v>Entregada</v>
      </c>
      <c r="J522" s="20">
        <f>IFERROR(__xludf.DUMMYFUNCTION("""COMPUTED_VALUE"""),44750.0)</f>
        <v>44750</v>
      </c>
      <c r="K522" s="19" t="str">
        <f>IFERROR(__xludf.DUMMYFUNCTION("""COMPUTED_VALUE"""),"Entregada")</f>
        <v>Entregada</v>
      </c>
      <c r="L522" s="20">
        <f>IFERROR(__xludf.DUMMYFUNCTION("""COMPUTED_VALUE"""),44750.0)</f>
        <v>44750</v>
      </c>
      <c r="M522" s="19" t="str">
        <f>IFERROR(__xludf.DUMMYFUNCTION("""COMPUTED_VALUE"""),"LLOO")</f>
        <v>LLOO</v>
      </c>
      <c r="N522" s="19" t="str">
        <f>IFERROR(__xludf.DUMMYFUNCTION("""COMPUTED_VALUE"""),"PRIORIDAD 1 Q3 2023 OCTUBRE")</f>
        <v>PRIORIDAD 1 Q3 2023 OCTUBRE</v>
      </c>
    </row>
    <row r="523" ht="15.75" customHeight="1">
      <c r="A523" s="19" t="str">
        <f>IFERROR(__xludf.DUMMYFUNCTION("""COMPUTED_VALUE"""),"AB_9897")</f>
        <v>AB_9897</v>
      </c>
      <c r="B523" s="19" t="str">
        <f>IFERROR(__xludf.DUMMYFUNCTION("""COMPUTED_VALUE"""),"AB_9897_A")</f>
        <v>AB_9897_A</v>
      </c>
      <c r="C523" s="19" t="str">
        <f>IFERROR(__xludf.DUMMYFUNCTION("""COMPUTED_VALUE"""),"LL9897")</f>
        <v>LL9897</v>
      </c>
      <c r="D523" s="19" t="str">
        <f>IFERROR(__xludf.DUMMYFUNCTION("""COMPUTED_VALUE"""),"LLOO Miramar")</f>
        <v>LLOO Miramar</v>
      </c>
      <c r="E523" s="19" t="str">
        <f>IFERROR(__xludf.DUMMYFUNCTION("""COMPUTED_VALUE"""),"SITIO RFI")</f>
        <v>SITIO RFI</v>
      </c>
      <c r="F523" s="19" t="str">
        <f>IFERROR(__xludf.DUMMYFUNCTION("""COMPUTED_VALUE"""),"RFI")</f>
        <v>RFI</v>
      </c>
      <c r="G523" s="19" t="str">
        <f>IFERROR(__xludf.DUMMYFUNCTION("""COMPUTED_VALUE"""),"AS60")</f>
        <v>AS60</v>
      </c>
      <c r="H523" s="19" t="str">
        <f>IFERROR(__xludf.DUMMYFUNCTION("""COMPUTED_VALUE"""),"ADM")</f>
        <v>ADM</v>
      </c>
      <c r="I523" s="19" t="str">
        <f>IFERROR(__xludf.DUMMYFUNCTION("""COMPUTED_VALUE"""),"Entregada")</f>
        <v>Entregada</v>
      </c>
      <c r="J523" s="20">
        <f>IFERROR(__xludf.DUMMYFUNCTION("""COMPUTED_VALUE"""),44750.0)</f>
        <v>44750</v>
      </c>
      <c r="K523" s="19" t="str">
        <f>IFERROR(__xludf.DUMMYFUNCTION("""COMPUTED_VALUE"""),"Entregada")</f>
        <v>Entregada</v>
      </c>
      <c r="L523" s="20">
        <f>IFERROR(__xludf.DUMMYFUNCTION("""COMPUTED_VALUE"""),44890.0)</f>
        <v>44890</v>
      </c>
      <c r="M523" s="19" t="str">
        <f>IFERROR(__xludf.DUMMYFUNCTION("""COMPUTED_VALUE"""),"LLOO")</f>
        <v>LLOO</v>
      </c>
      <c r="N523" s="19" t="str">
        <f>IFERROR(__xludf.DUMMYFUNCTION("""COMPUTED_VALUE"""),"PRIORIDAD 1 Q3 2023 OCTUBRE")</f>
        <v>PRIORIDAD 1 Q3 2023 OCTUBRE</v>
      </c>
    </row>
    <row r="524" ht="15.75" customHeight="1">
      <c r="A524" s="19" t="str">
        <f>IFERROR(__xludf.DUMMYFUNCTION("""COMPUTED_VALUE"""),"AB_9932")</f>
        <v>AB_9932</v>
      </c>
      <c r="B524" s="19" t="str">
        <f>IFERROR(__xludf.DUMMYFUNCTION("""COMPUTED_VALUE"""),"AB_9932_D")</f>
        <v>AB_9932_D</v>
      </c>
      <c r="C524" s="19" t="str">
        <f>IFERROR(__xludf.DUMMYFUNCTION("""COMPUTED_VALUE"""),"LL9932")</f>
        <v>LL9932</v>
      </c>
      <c r="D524" s="19" t="str">
        <f>IFERROR(__xludf.DUMMYFUNCTION("""COMPUTED_VALUE"""),"Camino La Ensenada Norte")</f>
        <v>Camino La Ensenada Norte</v>
      </c>
      <c r="E524" s="19" t="str">
        <f>IFERROR(__xludf.DUMMYFUNCTION("""COMPUTED_VALUE"""),"EN VALIDACION COMPRAS")</f>
        <v>EN VALIDACION COMPRAS</v>
      </c>
      <c r="F524" s="19"/>
      <c r="G524" s="19" t="str">
        <f>IFERROR(__xludf.DUMMYFUNCTION("""COMPUTED_VALUE"""),"AS60")</f>
        <v>AS60</v>
      </c>
      <c r="H524" s="19" t="str">
        <f>IFERROR(__xludf.DUMMYFUNCTION("""COMPUTED_VALUE"""),"JTI")</f>
        <v>JTI</v>
      </c>
      <c r="I524" s="19" t="str">
        <f>IFERROR(__xludf.DUMMYFUNCTION("""COMPUTED_VALUE"""),"Asignada")</f>
        <v>Asignada</v>
      </c>
      <c r="J524" s="20">
        <f>IFERROR(__xludf.DUMMYFUNCTION("""COMPUTED_VALUE"""),45156.0)</f>
        <v>45156</v>
      </c>
      <c r="K524" s="19" t="str">
        <f>IFERROR(__xludf.DUMMYFUNCTION("""COMPUTED_VALUE"""),"Asignada")</f>
        <v>Asignada</v>
      </c>
      <c r="L524" s="20">
        <f>IFERROR(__xludf.DUMMYFUNCTION("""COMPUTED_VALUE"""),45163.0)</f>
        <v>45163</v>
      </c>
      <c r="M524" s="19" t="str">
        <f>IFERROR(__xludf.DUMMYFUNCTION("""COMPUTED_VALUE"""),"PP")</f>
        <v>PP</v>
      </c>
      <c r="N524" s="19" t="str">
        <f>IFERROR(__xludf.DUMMYFUNCTION("""COMPUTED_VALUE"""),"PRIORIDAD 1 Q3 2023 OCTUBRE")</f>
        <v>PRIORIDAD 1 Q3 2023 OCTUBRE</v>
      </c>
    </row>
    <row r="525" ht="15.75" customHeight="1">
      <c r="A525" s="19" t="str">
        <f>IFERROR(__xludf.DUMMYFUNCTION("""COMPUTED_VALUE"""),"AB_9933")</f>
        <v>AB_9933</v>
      </c>
      <c r="B525" s="19" t="str">
        <f>IFERROR(__xludf.DUMMYFUNCTION("""COMPUTED_VALUE"""),"AB_9933_A")</f>
        <v>AB_9933_A</v>
      </c>
      <c r="C525" s="19" t="str">
        <f>IFERROR(__xludf.DUMMYFUNCTION("""COMPUTED_VALUE"""),"LL9933")</f>
        <v>LL9933</v>
      </c>
      <c r="D525" s="19" t="str">
        <f>IFERROR(__xludf.DUMMYFUNCTION("""COMPUTED_VALUE"""),"Cerro Los Rollizos")</f>
        <v>Cerro Los Rollizos</v>
      </c>
      <c r="E525" s="19" t="str">
        <f>IFERROR(__xludf.DUMMYFUNCTION("""COMPUTED_VALUE"""),"SITIO EN CONSTRUCCION")</f>
        <v>SITIO EN CONSTRUCCION</v>
      </c>
      <c r="F525" s="19" t="str">
        <f>IFERROR(__xludf.DUMMYFUNCTION("""COMPUTED_VALUE"""),"EXCAVACION")</f>
        <v>EXCAVACION</v>
      </c>
      <c r="G525" s="19" t="str">
        <f>IFERROR(__xludf.DUMMYFUNCTION("""COMPUTED_VALUE"""),"CV60")</f>
        <v>CV60</v>
      </c>
      <c r="H525" s="19" t="str">
        <f>IFERROR(__xludf.DUMMYFUNCTION("""COMPUTED_VALUE"""),"AJ")</f>
        <v>AJ</v>
      </c>
      <c r="I525" s="19" t="str">
        <f>IFERROR(__xludf.DUMMYFUNCTION("""COMPUTED_VALUE"""),"Entregada")</f>
        <v>Entregada</v>
      </c>
      <c r="J525" s="20">
        <f>IFERROR(__xludf.DUMMYFUNCTION("""COMPUTED_VALUE"""),44732.0)</f>
        <v>44732</v>
      </c>
      <c r="K525" s="19" t="str">
        <f>IFERROR(__xludf.DUMMYFUNCTION("""COMPUTED_VALUE"""),"Entregada")</f>
        <v>Entregada</v>
      </c>
      <c r="L525" s="20">
        <f>IFERROR(__xludf.DUMMYFUNCTION("""COMPUTED_VALUE"""),44853.0)</f>
        <v>44853</v>
      </c>
      <c r="M525" s="19" t="str">
        <f>IFERROR(__xludf.DUMMYFUNCTION("""COMPUTED_VALUE"""),"PP")</f>
        <v>PP</v>
      </c>
      <c r="N525" s="19" t="str">
        <f>IFERROR(__xludf.DUMMYFUNCTION("""COMPUTED_VALUE"""),"PRIORIDAD 1 Q3 2023 OCTUBRE")</f>
        <v>PRIORIDAD 1 Q3 2023 OCTUBRE</v>
      </c>
    </row>
    <row r="526" ht="15.75" customHeight="1">
      <c r="A526" s="19" t="str">
        <f>IFERROR(__xludf.DUMMYFUNCTION("""COMPUTED_VALUE"""),"AB_9934")</f>
        <v>AB_9934</v>
      </c>
      <c r="B526" s="19" t="str">
        <f>IFERROR(__xludf.DUMMYFUNCTION("""COMPUTED_VALUE"""),"AB_9934_G")</f>
        <v>AB_9934_G</v>
      </c>
      <c r="C526" s="19" t="str">
        <f>IFERROR(__xludf.DUMMYFUNCTION("""COMPUTED_VALUE"""),"LL9934")</f>
        <v>LL9934</v>
      </c>
      <c r="D526" s="19" t="str">
        <f>IFERROR(__xludf.DUMMYFUNCTION("""COMPUTED_VALUE"""),"Mirador Isla Marimeli")</f>
        <v>Mirador Isla Marimeli</v>
      </c>
      <c r="E526" s="19" t="str">
        <f>IFERROR(__xludf.DUMMYFUNCTION("""COMPUTED_VALUE"""),"EN VALIDACION COMPRAS")</f>
        <v>EN VALIDACION COMPRAS</v>
      </c>
      <c r="F526" s="19"/>
      <c r="G526" s="19" t="str">
        <f>IFERROR(__xludf.DUMMYFUNCTION("""COMPUTED_VALUE"""),"CV72 E")</f>
        <v>CV72 E</v>
      </c>
      <c r="H526" s="19" t="str">
        <f>IFERROR(__xludf.DUMMYFUNCTION("""COMPUTED_VALUE"""),"DEPROMET")</f>
        <v>DEPROMET</v>
      </c>
      <c r="I526" s="19" t="str">
        <f>IFERROR(__xludf.DUMMYFUNCTION("""COMPUTED_VALUE"""),"Asignada")</f>
        <v>Asignada</v>
      </c>
      <c r="J526" s="20">
        <f>IFERROR(__xludf.DUMMYFUNCTION("""COMPUTED_VALUE"""),45156.0)</f>
        <v>45156</v>
      </c>
      <c r="K526" s="19" t="str">
        <f>IFERROR(__xludf.DUMMYFUNCTION("""COMPUTED_VALUE"""),"Asignada")</f>
        <v>Asignada</v>
      </c>
      <c r="L526" s="20">
        <f>IFERROR(__xludf.DUMMYFUNCTION("""COMPUTED_VALUE"""),45163.0)</f>
        <v>45163</v>
      </c>
      <c r="M526" s="19" t="str">
        <f>IFERROR(__xludf.DUMMYFUNCTION("""COMPUTED_VALUE"""),"PP")</f>
        <v>PP</v>
      </c>
      <c r="N526" s="19" t="str">
        <f>IFERROR(__xludf.DUMMYFUNCTION("""COMPUTED_VALUE"""),"PRIORIDAD 1 Q3 2023 OCTUBRE")</f>
        <v>PRIORIDAD 1 Q3 2023 OCTUBRE</v>
      </c>
    </row>
    <row r="527" ht="15.75" customHeight="1">
      <c r="A527" s="19" t="str">
        <f>IFERROR(__xludf.DUMMYFUNCTION("""COMPUTED_VALUE"""),"AB_9935")</f>
        <v>AB_9935</v>
      </c>
      <c r="B527" s="19" t="str">
        <f>IFERROR(__xludf.DUMMYFUNCTION("""COMPUTED_VALUE"""),"AB_9935_A")</f>
        <v>AB_9935_A</v>
      </c>
      <c r="C527" s="19" t="str">
        <f>IFERROR(__xludf.DUMMYFUNCTION("""COMPUTED_VALUE"""),"LL9935")</f>
        <v>LL9935</v>
      </c>
      <c r="D527" s="19" t="str">
        <f>IFERROR(__xludf.DUMMYFUNCTION("""COMPUTED_VALUE"""),"Camino La Ensenada Sur")</f>
        <v>Camino La Ensenada Sur</v>
      </c>
      <c r="E527" s="19" t="str">
        <f>IFERROR(__xludf.DUMMYFUNCTION("""COMPUTED_VALUE"""),"SITIO RFI")</f>
        <v>SITIO RFI</v>
      </c>
      <c r="F527" s="19" t="str">
        <f>IFERROR(__xludf.DUMMYFUNCTION("""COMPUTED_VALUE"""),"CIERRE")</f>
        <v>CIERRE</v>
      </c>
      <c r="G527" s="19" t="str">
        <f>IFERROR(__xludf.DUMMYFUNCTION("""COMPUTED_VALUE"""),"CV60")</f>
        <v>CV60</v>
      </c>
      <c r="H527" s="19" t="str">
        <f>IFERROR(__xludf.DUMMYFUNCTION("""COMPUTED_VALUE"""),"DEPROMET")</f>
        <v>DEPROMET</v>
      </c>
      <c r="I527" s="19" t="str">
        <f>IFERROR(__xludf.DUMMYFUNCTION("""COMPUTED_VALUE"""),"Entregada")</f>
        <v>Entregada</v>
      </c>
      <c r="J527" s="20">
        <f>IFERROR(__xludf.DUMMYFUNCTION("""COMPUTED_VALUE"""),44893.0)</f>
        <v>44893</v>
      </c>
      <c r="K527" s="19" t="str">
        <f>IFERROR(__xludf.DUMMYFUNCTION("""COMPUTED_VALUE"""),"Entregada")</f>
        <v>Entregada</v>
      </c>
      <c r="L527" s="20">
        <f>IFERROR(__xludf.DUMMYFUNCTION("""COMPUTED_VALUE"""),44911.0)</f>
        <v>44911</v>
      </c>
      <c r="M527" s="19" t="str">
        <f>IFERROR(__xludf.DUMMYFUNCTION("""COMPUTED_VALUE"""),"PP")</f>
        <v>PP</v>
      </c>
      <c r="N527" s="19" t="str">
        <f>IFERROR(__xludf.DUMMYFUNCTION("""COMPUTED_VALUE"""),"PRIORIDAD 1 Q3 2023 OCTUBRE")</f>
        <v>PRIORIDAD 1 Q3 2023 OCTUBRE</v>
      </c>
    </row>
    <row r="528" ht="15.75" customHeight="1">
      <c r="A528" s="19" t="str">
        <f>IFERROR(__xludf.DUMMYFUNCTION("""COMPUTED_VALUE"""),"AB_10109")</f>
        <v>AB_10109</v>
      </c>
      <c r="B528" s="19" t="str">
        <f>IFERROR(__xludf.DUMMYFUNCTION("""COMPUTED_VALUE"""),"AB_10109_G")</f>
        <v>AB_10109_G</v>
      </c>
      <c r="C528" s="19" t="str">
        <f>IFERROR(__xludf.DUMMYFUNCTION("""COMPUTED_VALUE"""),"LR10109")</f>
        <v>LR10109</v>
      </c>
      <c r="D528" s="19" t="str">
        <f>IFERROR(__xludf.DUMMYFUNCTION("""COMPUTED_VALUE"""),"Instituto Forestal de Chile CIC 13")</f>
        <v>Instituto Forestal de Chile CIC 13</v>
      </c>
      <c r="E528" s="19" t="str">
        <f>IFERROR(__xludf.DUMMYFUNCTION("""COMPUTED_VALUE"""),"SITIO EN CONSTRUCCION")</f>
        <v>SITIO EN CONSTRUCCION</v>
      </c>
      <c r="F528" s="19" t="str">
        <f>IFERROR(__xludf.DUMMYFUNCTION("""COMPUTED_VALUE"""),"EXCAVACION")</f>
        <v>EXCAVACION</v>
      </c>
      <c r="G528" s="19" t="str">
        <f>IFERROR(__xludf.DUMMYFUNCTION("""COMPUTED_VALUE"""),"MP R40")</f>
        <v>MP R40</v>
      </c>
      <c r="H528" s="19" t="str">
        <f>IFERROR(__xludf.DUMMYFUNCTION("""COMPUTED_VALUE"""),"MER")</f>
        <v>MER</v>
      </c>
      <c r="I528" s="19" t="str">
        <f>IFERROR(__xludf.DUMMYFUNCTION("""COMPUTED_VALUE"""),"Entregada")</f>
        <v>Entregada</v>
      </c>
      <c r="J528" s="20">
        <f>IFERROR(__xludf.DUMMYFUNCTION("""COMPUTED_VALUE"""),44729.0)</f>
        <v>44729</v>
      </c>
      <c r="K528" s="19" t="str">
        <f>IFERROR(__xludf.DUMMYFUNCTION("""COMPUTED_VALUE"""),"Entregada")</f>
        <v>Entregada</v>
      </c>
      <c r="L528" s="20">
        <f>IFERROR(__xludf.DUMMYFUNCTION("""COMPUTED_VALUE"""),44743.0)</f>
        <v>44743</v>
      </c>
      <c r="M528" s="19" t="str">
        <f>IFERROR(__xludf.DUMMYFUNCTION("""COMPUTED_VALUE"""),"PP")</f>
        <v>PP</v>
      </c>
      <c r="N528" s="19" t="str">
        <f>IFERROR(__xludf.DUMMYFUNCTION("""COMPUTED_VALUE"""),"PRIORIDAD 1 Q3 2023 OCTUBRE")</f>
        <v>PRIORIDAD 1 Q3 2023 OCTUBRE</v>
      </c>
    </row>
    <row r="529" ht="15.75" customHeight="1">
      <c r="A529" s="19" t="str">
        <f>IFERROR(__xludf.DUMMYFUNCTION("""COMPUTED_VALUE"""),"AB_10231")</f>
        <v>AB_10231</v>
      </c>
      <c r="B529" s="19" t="str">
        <f>IFERROR(__xludf.DUMMYFUNCTION("""COMPUTED_VALUE"""),"AB_10231_H")</f>
        <v>AB_10231_H</v>
      </c>
      <c r="C529" s="19" t="str">
        <f>IFERROR(__xludf.DUMMYFUNCTION("""COMPUTED_VALUE"""),"LR10231")</f>
        <v>LR10231</v>
      </c>
      <c r="D529" s="19" t="str">
        <f>IFERROR(__xludf.DUMMYFUNCTION("""COMPUTED_VALUE"""),"UA Laboratorio Costero Calfuco")</f>
        <v>UA Laboratorio Costero Calfuco</v>
      </c>
      <c r="E529" s="19" t="str">
        <f>IFERROR(__xludf.DUMMYFUNCTION("""COMPUTED_VALUE"""),"DETENIDO COMUNIDAD")</f>
        <v>DETENIDO COMUNIDAD</v>
      </c>
      <c r="F529" s="19" t="str">
        <f>IFERROR(__xludf.DUMMYFUNCTION("""COMPUTED_VALUE"""),"ENFIERRADURA")</f>
        <v>ENFIERRADURA</v>
      </c>
      <c r="G529" s="19" t="str">
        <f>IFERROR(__xludf.DUMMYFUNCTION("""COMPUTED_VALUE"""),"AS36")</f>
        <v>AS36</v>
      </c>
      <c r="H529" s="19" t="str">
        <f>IFERROR(__xludf.DUMMYFUNCTION("""COMPUTED_VALUE"""),"JTI")</f>
        <v>JTI</v>
      </c>
      <c r="I529" s="19" t="str">
        <f>IFERROR(__xludf.DUMMYFUNCTION("""COMPUTED_VALUE"""),"Entregada")</f>
        <v>Entregada</v>
      </c>
      <c r="J529" s="20">
        <f>IFERROR(__xludf.DUMMYFUNCTION("""COMPUTED_VALUE"""),45034.0)</f>
        <v>45034</v>
      </c>
      <c r="K529" s="19" t="str">
        <f>IFERROR(__xludf.DUMMYFUNCTION("""COMPUTED_VALUE"""),"Entregada")</f>
        <v>Entregada</v>
      </c>
      <c r="L529" s="20">
        <f>IFERROR(__xludf.DUMMYFUNCTION("""COMPUTED_VALUE"""),45037.0)</f>
        <v>45037</v>
      </c>
      <c r="M529" s="19" t="str">
        <f>IFERROR(__xludf.DUMMYFUNCTION("""COMPUTED_VALUE"""),"PP")</f>
        <v>PP</v>
      </c>
      <c r="N529" s="19" t="str">
        <f>IFERROR(__xludf.DUMMYFUNCTION("""COMPUTED_VALUE"""),"PRIORIDAD 3 Q1 2024 MARZO")</f>
        <v>PRIORIDAD 3 Q1 2024 MARZO</v>
      </c>
    </row>
    <row r="530" ht="15.75" customHeight="1">
      <c r="A530" s="19" t="str">
        <f>IFERROR(__xludf.DUMMYFUNCTION("""COMPUTED_VALUE"""),"AB_10254")</f>
        <v>AB_10254</v>
      </c>
      <c r="B530" s="19" t="str">
        <f>IFERROR(__xludf.DUMMYFUNCTION("""COMPUTED_VALUE"""),"AB_10254_A")</f>
        <v>AB_10254_A</v>
      </c>
      <c r="C530" s="19" t="str">
        <f>IFERROR(__xludf.DUMMYFUNCTION("""COMPUTED_VALUE"""),"LR10254")</f>
        <v>LR10254</v>
      </c>
      <c r="D530" s="19" t="str">
        <f>IFERROR(__xludf.DUMMYFUNCTION("""COMPUTED_VALUE"""),"Paillaco Huichahue")</f>
        <v>Paillaco Huichahue</v>
      </c>
      <c r="E530" s="19" t="str">
        <f>IFERROR(__xludf.DUMMYFUNCTION("""COMPUTED_VALUE"""),"SITIO RFI")</f>
        <v>SITIO RFI</v>
      </c>
      <c r="F530" s="19" t="str">
        <f>IFERROR(__xludf.DUMMYFUNCTION("""COMPUTED_VALUE"""),"RFI")</f>
        <v>RFI</v>
      </c>
      <c r="G530" s="19" t="str">
        <f>IFERROR(__xludf.DUMMYFUNCTION("""COMPUTED_VALUE"""),"CV42")</f>
        <v>CV42</v>
      </c>
      <c r="H530" s="19" t="str">
        <f>IFERROR(__xludf.DUMMYFUNCTION("""COMPUTED_VALUE"""),"SyC")</f>
        <v>SyC</v>
      </c>
      <c r="I530" s="19" t="str">
        <f>IFERROR(__xludf.DUMMYFUNCTION("""COMPUTED_VALUE"""),"Entregada")</f>
        <v>Entregada</v>
      </c>
      <c r="J530" s="20">
        <f>IFERROR(__xludf.DUMMYFUNCTION("""COMPUTED_VALUE"""),44769.0)</f>
        <v>44769</v>
      </c>
      <c r="K530" s="19" t="str">
        <f>IFERROR(__xludf.DUMMYFUNCTION("""COMPUTED_VALUE"""),"Entregada")</f>
        <v>Entregada</v>
      </c>
      <c r="L530" s="20">
        <f>IFERROR(__xludf.DUMMYFUNCTION("""COMPUTED_VALUE"""),44784.0)</f>
        <v>44784</v>
      </c>
      <c r="M530" s="19" t="str">
        <f>IFERROR(__xludf.DUMMYFUNCTION("""COMPUTED_VALUE"""),"PCM")</f>
        <v>PCM</v>
      </c>
      <c r="N530" s="19" t="str">
        <f>IFERROR(__xludf.DUMMYFUNCTION("""COMPUTED_VALUE"""),"PRIORIDAD 1 Q3 2023 OCTUBRE")</f>
        <v>PRIORIDAD 1 Q3 2023 OCTUBRE</v>
      </c>
    </row>
    <row r="531" ht="15.75" customHeight="1">
      <c r="A531" s="19" t="str">
        <f>IFERROR(__xludf.DUMMYFUNCTION("""COMPUTED_VALUE"""),"AB_10258")</f>
        <v>AB_10258</v>
      </c>
      <c r="B531" s="19" t="str">
        <f>IFERROR(__xludf.DUMMYFUNCTION("""COMPUTED_VALUE"""),"AB_10258_C")</f>
        <v>AB_10258_C</v>
      </c>
      <c r="C531" s="19" t="str">
        <f>IFERROR(__xludf.DUMMYFUNCTION("""COMPUTED_VALUE"""),"LR10258")</f>
        <v>LR10258</v>
      </c>
      <c r="D531" s="19" t="str">
        <f>IFERROR(__xludf.DUMMYFUNCTION("""COMPUTED_VALUE"""),"Faldeos del Toribio")</f>
        <v>Faldeos del Toribio</v>
      </c>
      <c r="E531" s="19" t="str">
        <f>IFERROR(__xludf.DUMMYFUNCTION("""COMPUTED_VALUE"""),"SITIO RFI")</f>
        <v>SITIO RFI</v>
      </c>
      <c r="F531" s="19" t="str">
        <f>IFERROR(__xludf.DUMMYFUNCTION("""COMPUTED_VALUE"""),"RFI")</f>
        <v>RFI</v>
      </c>
      <c r="G531" s="19" t="str">
        <f>IFERROR(__xludf.DUMMYFUNCTION("""COMPUTED_VALUE"""),"CV42")</f>
        <v>CV42</v>
      </c>
      <c r="H531" s="19" t="str">
        <f>IFERROR(__xludf.DUMMYFUNCTION("""COMPUTED_VALUE"""),"AJ")</f>
        <v>AJ</v>
      </c>
      <c r="I531" s="19" t="str">
        <f>IFERROR(__xludf.DUMMYFUNCTION("""COMPUTED_VALUE"""),"Entregada")</f>
        <v>Entregada</v>
      </c>
      <c r="J531" s="20">
        <f>IFERROR(__xludf.DUMMYFUNCTION("""COMPUTED_VALUE"""),44729.0)</f>
        <v>44729</v>
      </c>
      <c r="K531" s="19" t="str">
        <f>IFERROR(__xludf.DUMMYFUNCTION("""COMPUTED_VALUE"""),"Entregada")</f>
        <v>Entregada</v>
      </c>
      <c r="L531" s="20">
        <f>IFERROR(__xludf.DUMMYFUNCTION("""COMPUTED_VALUE"""),44743.0)</f>
        <v>44743</v>
      </c>
      <c r="M531" s="19" t="str">
        <f>IFERROR(__xludf.DUMMYFUNCTION("""COMPUTED_VALUE"""),"PCM")</f>
        <v>PCM</v>
      </c>
      <c r="N531" s="19" t="str">
        <f>IFERROR(__xludf.DUMMYFUNCTION("""COMPUTED_VALUE"""),"PRIORIDAD 1 Q3 2023 OCTUBRE")</f>
        <v>PRIORIDAD 1 Q3 2023 OCTUBRE</v>
      </c>
    </row>
    <row r="532" ht="15.75" customHeight="1">
      <c r="A532" s="19" t="str">
        <f>IFERROR(__xludf.DUMMYFUNCTION("""COMPUTED_VALUE"""),"AB_10260")</f>
        <v>AB_10260</v>
      </c>
      <c r="B532" s="19" t="str">
        <f>IFERROR(__xludf.DUMMYFUNCTION("""COMPUTED_VALUE"""),"AB_10260_A")</f>
        <v>AB_10260_A</v>
      </c>
      <c r="C532" s="19" t="str">
        <f>IFERROR(__xludf.DUMMYFUNCTION("""COMPUTED_VALUE"""),"LR10260")</f>
        <v>LR10260</v>
      </c>
      <c r="D532" s="19" t="str">
        <f>IFERROR(__xludf.DUMMYFUNCTION("""COMPUTED_VALUE"""),"Riñinahue")</f>
        <v>Riñinahue</v>
      </c>
      <c r="E532" s="19" t="str">
        <f>IFERROR(__xludf.DUMMYFUNCTION("""COMPUTED_VALUE"""),"SITIO RFI")</f>
        <v>SITIO RFI</v>
      </c>
      <c r="F532" s="19" t="str">
        <f>IFERROR(__xludf.DUMMYFUNCTION("""COMPUTED_VALUE"""),"RFI")</f>
        <v>RFI</v>
      </c>
      <c r="G532" s="19" t="str">
        <f>IFERROR(__xludf.DUMMYFUNCTION("""COMPUTED_VALUE"""),"AS48")</f>
        <v>AS48</v>
      </c>
      <c r="H532" s="19" t="str">
        <f>IFERROR(__xludf.DUMMYFUNCTION("""COMPUTED_VALUE"""),"JTI")</f>
        <v>JTI</v>
      </c>
      <c r="I532" s="19" t="str">
        <f>IFERROR(__xludf.DUMMYFUNCTION("""COMPUTED_VALUE"""),"Entregada")</f>
        <v>Entregada</v>
      </c>
      <c r="J532" s="20">
        <f>IFERROR(__xludf.DUMMYFUNCTION("""COMPUTED_VALUE"""),44574.0)</f>
        <v>44574</v>
      </c>
      <c r="K532" s="19" t="str">
        <f>IFERROR(__xludf.DUMMYFUNCTION("""COMPUTED_VALUE"""),"Entregada")</f>
        <v>Entregada</v>
      </c>
      <c r="L532" s="20">
        <f>IFERROR(__xludf.DUMMYFUNCTION("""COMPUTED_VALUE"""),44571.0)</f>
        <v>44571</v>
      </c>
      <c r="M532" s="19" t="str">
        <f>IFERROR(__xludf.DUMMYFUNCTION("""COMPUTED_VALUE"""),"PCM")</f>
        <v>PCM</v>
      </c>
      <c r="N532" s="19" t="str">
        <f>IFERROR(__xludf.DUMMYFUNCTION("""COMPUTED_VALUE"""),"PRIORIDAD 1 Q3 2023 OCTUBRE")</f>
        <v>PRIORIDAD 1 Q3 2023 OCTUBRE</v>
      </c>
    </row>
    <row r="533" ht="15.75" customHeight="1">
      <c r="A533" s="19" t="str">
        <f>IFERROR(__xludf.DUMMYFUNCTION("""COMPUTED_VALUE"""),"AB_10261")</f>
        <v>AB_10261</v>
      </c>
      <c r="B533" s="19" t="str">
        <f>IFERROR(__xludf.DUMMYFUNCTION("""COMPUTED_VALUE"""),"AB_10261_D")</f>
        <v>AB_10261_D</v>
      </c>
      <c r="C533" s="19" t="str">
        <f>IFERROR(__xludf.DUMMYFUNCTION("""COMPUTED_VALUE"""),"LR10261")</f>
        <v>LR10261</v>
      </c>
      <c r="D533" s="19" t="str">
        <f>IFERROR(__xludf.DUMMYFUNCTION("""COMPUTED_VALUE"""),"Calcurrupe")</f>
        <v>Calcurrupe</v>
      </c>
      <c r="E533" s="19" t="str">
        <f>IFERROR(__xludf.DUMMYFUNCTION("""COMPUTED_VALUE"""),"DETENIDO JUDICIAL")</f>
        <v>DETENIDO JUDICIAL</v>
      </c>
      <c r="F533" s="19" t="str">
        <f>IFERROR(__xludf.DUMMYFUNCTION("""COMPUTED_VALUE"""),"MONTAJE")</f>
        <v>MONTAJE</v>
      </c>
      <c r="G533" s="19" t="str">
        <f>IFERROR(__xludf.DUMMYFUNCTION("""COMPUTED_VALUE"""),"AS60")</f>
        <v>AS60</v>
      </c>
      <c r="H533" s="19" t="str">
        <f>IFERROR(__xludf.DUMMYFUNCTION("""COMPUTED_VALUE"""),"DEITEL")</f>
        <v>DEITEL</v>
      </c>
      <c r="I533" s="19" t="str">
        <f>IFERROR(__xludf.DUMMYFUNCTION("""COMPUTED_VALUE"""),"Entregada")</f>
        <v>Entregada</v>
      </c>
      <c r="J533" s="20">
        <f>IFERROR(__xludf.DUMMYFUNCTION("""COMPUTED_VALUE"""),44697.0)</f>
        <v>44697</v>
      </c>
      <c r="K533" s="19" t="str">
        <f>IFERROR(__xludf.DUMMYFUNCTION("""COMPUTED_VALUE"""),"Entregada")</f>
        <v>Entregada</v>
      </c>
      <c r="L533" s="20">
        <f>IFERROR(__xludf.DUMMYFUNCTION("""COMPUTED_VALUE"""),44767.0)</f>
        <v>44767</v>
      </c>
      <c r="M533" s="19" t="str">
        <f>IFERROR(__xludf.DUMMYFUNCTION("""COMPUTED_VALUE"""),"PCM")</f>
        <v>PCM</v>
      </c>
      <c r="N533" s="19" t="str">
        <f>IFERROR(__xludf.DUMMYFUNCTION("""COMPUTED_VALUE"""),"PRIORIDAD 3 Q1 2024 MARZO")</f>
        <v>PRIORIDAD 3 Q1 2024 MARZO</v>
      </c>
    </row>
    <row r="534" ht="15.75" customHeight="1">
      <c r="A534" s="19" t="str">
        <f>IFERROR(__xludf.DUMMYFUNCTION("""COMPUTED_VALUE"""),"AB_10262")</f>
        <v>AB_10262</v>
      </c>
      <c r="B534" s="19" t="str">
        <f>IFERROR(__xludf.DUMMYFUNCTION("""COMPUTED_VALUE"""),"AB_10262_A")</f>
        <v>AB_10262_A</v>
      </c>
      <c r="C534" s="19" t="str">
        <f>IFERROR(__xludf.DUMMYFUNCTION("""COMPUTED_VALUE"""),"LR10262")</f>
        <v>LR10262</v>
      </c>
      <c r="D534" s="19" t="str">
        <f>IFERROR(__xludf.DUMMYFUNCTION("""COMPUTED_VALUE"""),"Ignao")</f>
        <v>Ignao</v>
      </c>
      <c r="E534" s="19" t="str">
        <f>IFERROR(__xludf.DUMMYFUNCTION("""COMPUTED_VALUE"""),"SITIO RFI")</f>
        <v>SITIO RFI</v>
      </c>
      <c r="F534" s="19" t="str">
        <f>IFERROR(__xludf.DUMMYFUNCTION("""COMPUTED_VALUE"""),"RFI")</f>
        <v>RFI</v>
      </c>
      <c r="G534" s="19" t="str">
        <f>IFERROR(__xludf.DUMMYFUNCTION("""COMPUTED_VALUE"""),"AS60")</f>
        <v>AS60</v>
      </c>
      <c r="H534" s="19" t="str">
        <f>IFERROR(__xludf.DUMMYFUNCTION("""COMPUTED_VALUE"""),"MER")</f>
        <v>MER</v>
      </c>
      <c r="I534" s="19" t="str">
        <f>IFERROR(__xludf.DUMMYFUNCTION("""COMPUTED_VALUE"""),"Entregada")</f>
        <v>Entregada</v>
      </c>
      <c r="J534" s="20">
        <f>IFERROR(__xludf.DUMMYFUNCTION("""COMPUTED_VALUE"""),44693.0)</f>
        <v>44693</v>
      </c>
      <c r="K534" s="19" t="str">
        <f>IFERROR(__xludf.DUMMYFUNCTION("""COMPUTED_VALUE"""),"Entregada")</f>
        <v>Entregada</v>
      </c>
      <c r="L534" s="20">
        <f>IFERROR(__xludf.DUMMYFUNCTION("""COMPUTED_VALUE"""),44708.0)</f>
        <v>44708</v>
      </c>
      <c r="M534" s="19" t="str">
        <f>IFERROR(__xludf.DUMMYFUNCTION("""COMPUTED_VALUE"""),"PCM")</f>
        <v>PCM</v>
      </c>
      <c r="N534" s="19" t="str">
        <f>IFERROR(__xludf.DUMMYFUNCTION("""COMPUTED_VALUE"""),"PRIORIDAD 1 Q3 2023 OCTUBRE")</f>
        <v>PRIORIDAD 1 Q3 2023 OCTUBRE</v>
      </c>
    </row>
    <row r="535" ht="15.75" customHeight="1">
      <c r="A535" s="19" t="str">
        <f>IFERROR(__xludf.DUMMYFUNCTION("""COMPUTED_VALUE"""),"AB_10560")</f>
        <v>AB_10560</v>
      </c>
      <c r="B535" s="19" t="str">
        <f>IFERROR(__xludf.DUMMYFUNCTION("""COMPUTED_VALUE"""),"AB_10560_D")</f>
        <v>AB_10560_D</v>
      </c>
      <c r="C535" s="19" t="str">
        <f>IFERROR(__xludf.DUMMYFUNCTION("""COMPUTED_VALUE"""),"LR10560")</f>
        <v>LR10560</v>
      </c>
      <c r="D535" s="19" t="str">
        <f>IFERROR(__xludf.DUMMYFUNCTION("""COMPUTED_VALUE"""),"RPT ChaihuIn")</f>
        <v>RPT ChaihuIn</v>
      </c>
      <c r="E535" s="19" t="str">
        <f>IFERROR(__xludf.DUMMYFUNCTION("""COMPUTED_VALUE"""),"SITIO EN CONSTRUCCION")</f>
        <v>SITIO EN CONSTRUCCION</v>
      </c>
      <c r="F535" s="19" t="str">
        <f>IFERROR(__xludf.DUMMYFUNCTION("""COMPUTED_VALUE"""),"EXCAVACION")</f>
        <v>EXCAVACION</v>
      </c>
      <c r="G535" s="19" t="str">
        <f>IFERROR(__xludf.DUMMYFUNCTION("""COMPUTED_VALUE"""),"CV60")</f>
        <v>CV60</v>
      </c>
      <c r="H535" s="19" t="str">
        <f>IFERROR(__xludf.DUMMYFUNCTION("""COMPUTED_VALUE"""),"DEPROMET")</f>
        <v>DEPROMET</v>
      </c>
      <c r="I535" s="19" t="str">
        <f>IFERROR(__xludf.DUMMYFUNCTION("""COMPUTED_VALUE"""),"Terminada")</f>
        <v>Terminada</v>
      </c>
      <c r="J535" s="20">
        <f>IFERROR(__xludf.DUMMYFUNCTION("""COMPUTED_VALUE"""),45001.0)</f>
        <v>45001</v>
      </c>
      <c r="K535" s="19" t="str">
        <f>IFERROR(__xludf.DUMMYFUNCTION("""COMPUTED_VALUE"""),"Terminada")</f>
        <v>Terminada</v>
      </c>
      <c r="L535" s="20">
        <f>IFERROR(__xludf.DUMMYFUNCTION("""COMPUTED_VALUE"""),45001.0)</f>
        <v>45001</v>
      </c>
      <c r="M535" s="19" t="str">
        <f>IFERROR(__xludf.DUMMYFUNCTION("""COMPUTED_VALUE"""),"PCM_3")</f>
        <v>PCM_3</v>
      </c>
      <c r="N535" s="19" t="str">
        <f>IFERROR(__xludf.DUMMYFUNCTION("""COMPUTED_VALUE"""),"PRIORIDAD 3 Q1 2024 MARZO")</f>
        <v>PRIORIDAD 3 Q1 2024 MARZO</v>
      </c>
    </row>
    <row r="536" ht="15.75" customHeight="1">
      <c r="A536" s="19" t="str">
        <f>IFERROR(__xludf.DUMMYFUNCTION("""COMPUTED_VALUE"""),"AB_1725")</f>
        <v>AB_1725</v>
      </c>
      <c r="B536" s="19" t="str">
        <f>IFERROR(__xludf.DUMMYFUNCTION("""COMPUTED_VALUE"""),"AB_1725_D")</f>
        <v>AB_1725_D</v>
      </c>
      <c r="C536" s="19" t="str">
        <f>IFERROR(__xludf.DUMMYFUNCTION("""COMPUTED_VALUE"""),"LR1725")</f>
        <v>LR1725</v>
      </c>
      <c r="D536" s="19" t="str">
        <f>IFERROR(__xludf.DUMMYFUNCTION("""COMPUTED_VALUE"""),"Ciruelos Cerro")</f>
        <v>Ciruelos Cerro</v>
      </c>
      <c r="E536" s="19" t="str">
        <f>IFERROR(__xludf.DUMMYFUNCTION("""COMPUTED_VALUE"""),"SITIO RFI")</f>
        <v>SITIO RFI</v>
      </c>
      <c r="F536" s="19" t="str">
        <f>IFERROR(__xludf.DUMMYFUNCTION("""COMPUTED_VALUE"""),"MONTAJE")</f>
        <v>MONTAJE</v>
      </c>
      <c r="G536" s="19" t="str">
        <f>IFERROR(__xludf.DUMMYFUNCTION("""COMPUTED_VALUE"""),"CV60")</f>
        <v>CV60</v>
      </c>
      <c r="H536" s="19" t="str">
        <f>IFERROR(__xludf.DUMMYFUNCTION("""COMPUTED_VALUE"""),"DEPROMET")</f>
        <v>DEPROMET</v>
      </c>
      <c r="I536" s="19" t="str">
        <f>IFERROR(__xludf.DUMMYFUNCTION("""COMPUTED_VALUE"""),"Entregada")</f>
        <v>Entregada</v>
      </c>
      <c r="J536" s="20">
        <f>IFERROR(__xludf.DUMMYFUNCTION("""COMPUTED_VALUE"""),45001.0)</f>
        <v>45001</v>
      </c>
      <c r="K536" s="19" t="str">
        <f>IFERROR(__xludf.DUMMYFUNCTION("""COMPUTED_VALUE"""),"Entregada")</f>
        <v>Entregada</v>
      </c>
      <c r="L536" s="20">
        <f>IFERROR(__xludf.DUMMYFUNCTION("""COMPUTED_VALUE"""),45058.0)</f>
        <v>45058</v>
      </c>
      <c r="M536" s="19" t="str">
        <f>IFERROR(__xludf.DUMMYFUNCTION("""COMPUTED_VALUE"""),"PP")</f>
        <v>PP</v>
      </c>
      <c r="N536" s="19" t="str">
        <f>IFERROR(__xludf.DUMMYFUNCTION("""COMPUTED_VALUE"""),"PRIORIDAD 1 Q3 2023 OCTUBRE")</f>
        <v>PRIORIDAD 1 Q3 2023 OCTUBRE</v>
      </c>
    </row>
    <row r="537" ht="15.75" customHeight="1">
      <c r="A537" s="19" t="str">
        <f>IFERROR(__xludf.DUMMYFUNCTION("""COMPUTED_VALUE"""),"AB_1765")</f>
        <v>AB_1765</v>
      </c>
      <c r="B537" s="19" t="str">
        <f>IFERROR(__xludf.DUMMYFUNCTION("""COMPUTED_VALUE"""),"AB_1765_F")</f>
        <v>AB_1765_F</v>
      </c>
      <c r="C537" s="19" t="str">
        <f>IFERROR(__xludf.DUMMYFUNCTION("""COMPUTED_VALUE"""),"LR1765")</f>
        <v>LR1765</v>
      </c>
      <c r="D537" s="19" t="str">
        <f>IFERROR(__xludf.DUMMYFUNCTION("""COMPUTED_VALUE"""),"LLifen")</f>
        <v>LLifen</v>
      </c>
      <c r="E537" s="19" t="str">
        <f>IFERROR(__xludf.DUMMYFUNCTION("""COMPUTED_VALUE"""),"SITIO RFI")</f>
        <v>SITIO RFI</v>
      </c>
      <c r="F537" s="19" t="str">
        <f>IFERROR(__xludf.DUMMYFUNCTION("""COMPUTED_VALUE"""),"RFI")</f>
        <v>RFI</v>
      </c>
      <c r="G537" s="19" t="str">
        <f>IFERROR(__xludf.DUMMYFUNCTION("""COMPUTED_VALUE"""),"CV48")</f>
        <v>CV48</v>
      </c>
      <c r="H537" s="19" t="str">
        <f>IFERROR(__xludf.DUMMYFUNCTION("""COMPUTED_VALUE"""),"ADM")</f>
        <v>ADM</v>
      </c>
      <c r="I537" s="19" t="str">
        <f>IFERROR(__xludf.DUMMYFUNCTION("""COMPUTED_VALUE"""),"Entregada")</f>
        <v>Entregada</v>
      </c>
      <c r="J537" s="20">
        <f>IFERROR(__xludf.DUMMYFUNCTION("""COMPUTED_VALUE"""),44736.0)</f>
        <v>44736</v>
      </c>
      <c r="K537" s="19" t="str">
        <f>IFERROR(__xludf.DUMMYFUNCTION("""COMPUTED_VALUE"""),"Entregada")</f>
        <v>Entregada</v>
      </c>
      <c r="L537" s="20">
        <f>IFERROR(__xludf.DUMMYFUNCTION("""COMPUTED_VALUE"""),44833.0)</f>
        <v>44833</v>
      </c>
      <c r="M537" s="19" t="str">
        <f>IFERROR(__xludf.DUMMYFUNCTION("""COMPUTED_VALUE"""),"PCM")</f>
        <v>PCM</v>
      </c>
      <c r="N537" s="19" t="str">
        <f>IFERROR(__xludf.DUMMYFUNCTION("""COMPUTED_VALUE"""),"PRIORIDAD 1 Q3 2023 OCTUBRE")</f>
        <v>PRIORIDAD 1 Q3 2023 OCTUBRE</v>
      </c>
    </row>
    <row r="538" ht="15.75" customHeight="1">
      <c r="A538" s="19" t="str">
        <f>IFERROR(__xludf.DUMMYFUNCTION("""COMPUTED_VALUE"""),"AB_2482")</f>
        <v>AB_2482</v>
      </c>
      <c r="B538" s="19" t="str">
        <f>IFERROR(__xludf.DUMMYFUNCTION("""COMPUTED_VALUE"""),"AB_2482_G")</f>
        <v>AB_2482_G</v>
      </c>
      <c r="C538" s="19" t="str">
        <f>IFERROR(__xludf.DUMMYFUNCTION("""COMPUTED_VALUE"""),"LR2482")</f>
        <v>LR2482</v>
      </c>
      <c r="D538" s="19" t="str">
        <f>IFERROR(__xludf.DUMMYFUNCTION("""COMPUTED_VALUE"""),"El Llolly")</f>
        <v>El Llolly</v>
      </c>
      <c r="E538" s="19" t="str">
        <f>IFERROR(__xludf.DUMMYFUNCTION("""COMPUTED_VALUE"""),"SITIO RFI")</f>
        <v>SITIO RFI</v>
      </c>
      <c r="F538" s="19" t="str">
        <f>IFERROR(__xludf.DUMMYFUNCTION("""COMPUTED_VALUE"""),"CIERRE")</f>
        <v>CIERRE</v>
      </c>
      <c r="G538" s="19" t="str">
        <f>IFERROR(__xludf.DUMMYFUNCTION("""COMPUTED_VALUE"""),"AS60")</f>
        <v>AS60</v>
      </c>
      <c r="H538" s="19" t="str">
        <f>IFERROR(__xludf.DUMMYFUNCTION("""COMPUTED_VALUE"""),"MER")</f>
        <v>MER</v>
      </c>
      <c r="I538" s="19" t="str">
        <f>IFERROR(__xludf.DUMMYFUNCTION("""COMPUTED_VALUE"""),"Entregada")</f>
        <v>Entregada</v>
      </c>
      <c r="J538" s="20">
        <f>IFERROR(__xludf.DUMMYFUNCTION("""COMPUTED_VALUE"""),44881.0)</f>
        <v>44881</v>
      </c>
      <c r="K538" s="19" t="str">
        <f>IFERROR(__xludf.DUMMYFUNCTION("""COMPUTED_VALUE"""),"Entregada")</f>
        <v>Entregada</v>
      </c>
      <c r="L538" s="20">
        <f>IFERROR(__xludf.DUMMYFUNCTION("""COMPUTED_VALUE"""),44890.0)</f>
        <v>44890</v>
      </c>
      <c r="M538" s="19" t="str">
        <f>IFERROR(__xludf.DUMMYFUNCTION("""COMPUTED_VALUE"""),"PCM_2")</f>
        <v>PCM_2</v>
      </c>
      <c r="N538" s="19" t="str">
        <f>IFERROR(__xludf.DUMMYFUNCTION("""COMPUTED_VALUE"""),"PRIORIDAD 1 Q3 2023 OCTUBRE")</f>
        <v>PRIORIDAD 1 Q3 2023 OCTUBRE</v>
      </c>
    </row>
    <row r="539" ht="15.75" customHeight="1">
      <c r="A539" s="19" t="str">
        <f>IFERROR(__xludf.DUMMYFUNCTION("""COMPUTED_VALUE"""),"AB_6924")</f>
        <v>AB_6924</v>
      </c>
      <c r="B539" s="19" t="str">
        <f>IFERROR(__xludf.DUMMYFUNCTION("""COMPUTED_VALUE"""),"AB_6924_C")</f>
        <v>AB_6924_C</v>
      </c>
      <c r="C539" s="19" t="str">
        <f>IFERROR(__xludf.DUMMYFUNCTION("""COMPUTED_VALUE"""),"LR6924")</f>
        <v>LR6924</v>
      </c>
      <c r="D539" s="19" t="str">
        <f>IFERROR(__xludf.DUMMYFUNCTION("""COMPUTED_VALUE"""),"Pelchuquin Centro")</f>
        <v>Pelchuquin Centro</v>
      </c>
      <c r="E539" s="19" t="str">
        <f>IFERROR(__xludf.DUMMYFUNCTION("""COMPUTED_VALUE"""),"SITIO RFI")</f>
        <v>SITIO RFI</v>
      </c>
      <c r="F539" s="19" t="str">
        <f>IFERROR(__xludf.DUMMYFUNCTION("""COMPUTED_VALUE"""),"RFI")</f>
        <v>RFI</v>
      </c>
      <c r="G539" s="19" t="str">
        <f>IFERROR(__xludf.DUMMYFUNCTION("""COMPUTED_VALUE"""),"x")</f>
        <v>x</v>
      </c>
      <c r="H539" s="19" t="str">
        <f>IFERROR(__xludf.DUMMYFUNCTION("""COMPUTED_VALUE"""),"x")</f>
        <v>x</v>
      </c>
      <c r="I539" s="19" t="str">
        <f>IFERROR(__xludf.DUMMYFUNCTION("""COMPUTED_VALUE"""),"x")</f>
        <v>x</v>
      </c>
      <c r="J539" s="20" t="str">
        <f>IFERROR(__xludf.DUMMYFUNCTION("""COMPUTED_VALUE"""),"x")</f>
        <v>x</v>
      </c>
      <c r="K539" s="19" t="str">
        <f>IFERROR(__xludf.DUMMYFUNCTION("""COMPUTED_VALUE"""),"x")</f>
        <v>x</v>
      </c>
      <c r="L539" s="20" t="str">
        <f>IFERROR(__xludf.DUMMYFUNCTION("""COMPUTED_VALUE"""),"x")</f>
        <v>x</v>
      </c>
      <c r="M539" s="19" t="str">
        <f>IFERROR(__xludf.DUMMYFUNCTION("""COMPUTED_VALUE"""),"PP")</f>
        <v>PP</v>
      </c>
      <c r="N539" s="19" t="str">
        <f>IFERROR(__xludf.DUMMYFUNCTION("""COMPUTED_VALUE"""),"PRIORIDAD 1 Q3 2023 OCTUBRE")</f>
        <v>PRIORIDAD 1 Q3 2023 OCTUBRE</v>
      </c>
    </row>
    <row r="540" ht="15.75" customHeight="1">
      <c r="A540" s="19" t="str">
        <f>IFERROR(__xludf.DUMMYFUNCTION("""COMPUTED_VALUE"""),"AB_8100")</f>
        <v>AB_8100</v>
      </c>
      <c r="B540" s="19" t="str">
        <f>IFERROR(__xludf.DUMMYFUNCTION("""COMPUTED_VALUE"""),"AB_8100_G")</f>
        <v>AB_8100_G</v>
      </c>
      <c r="C540" s="19" t="str">
        <f>IFERROR(__xludf.DUMMYFUNCTION("""COMPUTED_VALUE"""),"LR8100")</f>
        <v>LR8100</v>
      </c>
      <c r="D540" s="19" t="str">
        <f>IFERROR(__xludf.DUMMYFUNCTION("""COMPUTED_VALUE"""),"Calfuco Valdivia")</f>
        <v>Calfuco Valdivia</v>
      </c>
      <c r="E540" s="19" t="str">
        <f>IFERROR(__xludf.DUMMYFUNCTION("""COMPUTED_VALUE"""),"SITIO EN CONSTRUCCION")</f>
        <v>SITIO EN CONSTRUCCION</v>
      </c>
      <c r="F540" s="19" t="str">
        <f>IFERROR(__xludf.DUMMYFUNCTION("""COMPUTED_VALUE"""),"HORMIGONADO")</f>
        <v>HORMIGONADO</v>
      </c>
      <c r="G540" s="19" t="str">
        <f>IFERROR(__xludf.DUMMYFUNCTION("""COMPUTED_VALUE"""),"CV60")</f>
        <v>CV60</v>
      </c>
      <c r="H540" s="19" t="str">
        <f>IFERROR(__xludf.DUMMYFUNCTION("""COMPUTED_VALUE"""),"ADM")</f>
        <v>ADM</v>
      </c>
      <c r="I540" s="19" t="str">
        <f>IFERROR(__xludf.DUMMYFUNCTION("""COMPUTED_VALUE"""),"Entregada")</f>
        <v>Entregada</v>
      </c>
      <c r="J540" s="20">
        <f>IFERROR(__xludf.DUMMYFUNCTION("""COMPUTED_VALUE"""),44743.0)</f>
        <v>44743</v>
      </c>
      <c r="K540" s="19" t="str">
        <f>IFERROR(__xludf.DUMMYFUNCTION("""COMPUTED_VALUE"""),"Entregada")</f>
        <v>Entregada</v>
      </c>
      <c r="L540" s="20">
        <f>IFERROR(__xludf.DUMMYFUNCTION("""COMPUTED_VALUE"""),44890.0)</f>
        <v>44890</v>
      </c>
      <c r="M540" s="19" t="str">
        <f>IFERROR(__xludf.DUMMYFUNCTION("""COMPUTED_VALUE"""),"PCM")</f>
        <v>PCM</v>
      </c>
      <c r="N540" s="19" t="str">
        <f>IFERROR(__xludf.DUMMYFUNCTION("""COMPUTED_VALUE"""),"PRIORIDAD 1 Q3 2023 OCTUBRE")</f>
        <v>PRIORIDAD 1 Q3 2023 OCTUBRE</v>
      </c>
    </row>
    <row r="541" ht="15.75" customHeight="1">
      <c r="A541" s="19" t="str">
        <f>IFERROR(__xludf.DUMMYFUNCTION("""COMPUTED_VALUE"""),"AB_9090")</f>
        <v>AB_9090</v>
      </c>
      <c r="B541" s="19" t="str">
        <f>IFERROR(__xludf.DUMMYFUNCTION("""COMPUTED_VALUE"""),"AB_9090_A")</f>
        <v>AB_9090_A</v>
      </c>
      <c r="C541" s="19" t="str">
        <f>IFERROR(__xludf.DUMMYFUNCTION("""COMPUTED_VALUE"""),"LR9090")</f>
        <v>LR9090</v>
      </c>
      <c r="D541" s="19" t="str">
        <f>IFERROR(__xludf.DUMMYFUNCTION("""COMPUTED_VALUE"""),"Cuyuncahuin")</f>
        <v>Cuyuncahuin</v>
      </c>
      <c r="E541" s="19" t="str">
        <f>IFERROR(__xludf.DUMMYFUNCTION("""COMPUTED_VALUE"""),"SITIO RFI")</f>
        <v>SITIO RFI</v>
      </c>
      <c r="F541" s="19" t="str">
        <f>IFERROR(__xludf.DUMMYFUNCTION("""COMPUTED_VALUE"""),"RFI")</f>
        <v>RFI</v>
      </c>
      <c r="G541" s="19" t="str">
        <f>IFERROR(__xludf.DUMMYFUNCTION("""COMPUTED_VALUE"""),"AS48")</f>
        <v>AS48</v>
      </c>
      <c r="H541" s="19" t="str">
        <f>IFERROR(__xludf.DUMMYFUNCTION("""COMPUTED_VALUE"""),"AJ")</f>
        <v>AJ</v>
      </c>
      <c r="I541" s="19" t="str">
        <f>IFERROR(__xludf.DUMMYFUNCTION("""COMPUTED_VALUE"""),"Entregada")</f>
        <v>Entregada</v>
      </c>
      <c r="J541" s="20">
        <f>IFERROR(__xludf.DUMMYFUNCTION("""COMPUTED_VALUE"""),44543.0)</f>
        <v>44543</v>
      </c>
      <c r="K541" s="19" t="str">
        <f>IFERROR(__xludf.DUMMYFUNCTION("""COMPUTED_VALUE"""),"Entregada")</f>
        <v>Entregada</v>
      </c>
      <c r="L541" s="20">
        <f>IFERROR(__xludf.DUMMYFUNCTION("""COMPUTED_VALUE"""),44533.0)</f>
        <v>44533</v>
      </c>
      <c r="M541" s="19" t="str">
        <f>IFERROR(__xludf.DUMMYFUNCTION("""COMPUTED_VALUE"""),"PCM")</f>
        <v>PCM</v>
      </c>
      <c r="N541" s="19" t="str">
        <f>IFERROR(__xludf.DUMMYFUNCTION("""COMPUTED_VALUE"""),"PRIORIDAD 1 Q3 2023 OCTUBRE")</f>
        <v>PRIORIDAD 1 Q3 2023 OCTUBRE</v>
      </c>
    </row>
    <row r="542" ht="15.75" customHeight="1">
      <c r="A542" s="19" t="str">
        <f>IFERROR(__xludf.DUMMYFUNCTION("""COMPUTED_VALUE"""),"AB_9423")</f>
        <v>AB_9423</v>
      </c>
      <c r="B542" s="19" t="str">
        <f>IFERROR(__xludf.DUMMYFUNCTION("""COMPUTED_VALUE"""),"AB_9423_D")</f>
        <v>AB_9423_D</v>
      </c>
      <c r="C542" s="19" t="str">
        <f>IFERROR(__xludf.DUMMYFUNCTION("""COMPUTED_VALUE"""),"LR9423")</f>
        <v>LR9423</v>
      </c>
      <c r="D542" s="19" t="str">
        <f>IFERROR(__xludf.DUMMYFUNCTION("""COMPUTED_VALUE"""),"Club Ecuestre La Dehesa")</f>
        <v>Club Ecuestre La Dehesa</v>
      </c>
      <c r="E542" s="19" t="str">
        <f>IFERROR(__xludf.DUMMYFUNCTION("""COMPUTED_VALUE"""),"SITIO RFI")</f>
        <v>SITIO RFI</v>
      </c>
      <c r="F542" s="19" t="str">
        <f>IFERROR(__xludf.DUMMYFUNCTION("""COMPUTED_VALUE"""),"RFI")</f>
        <v>RFI</v>
      </c>
      <c r="G542" s="19" t="str">
        <f>IFERROR(__xludf.DUMMYFUNCTION("""COMPUTED_VALUE"""),"AS42")</f>
        <v>AS42</v>
      </c>
      <c r="H542" s="19" t="str">
        <f>IFERROR(__xludf.DUMMYFUNCTION("""COMPUTED_VALUE"""),"DEITEL")</f>
        <v>DEITEL</v>
      </c>
      <c r="I542" s="19" t="str">
        <f>IFERROR(__xludf.DUMMYFUNCTION("""COMPUTED_VALUE"""),"Entregada")</f>
        <v>Entregada</v>
      </c>
      <c r="J542" s="20">
        <f>IFERROR(__xludf.DUMMYFUNCTION("""COMPUTED_VALUE"""),44854.0)</f>
        <v>44854</v>
      </c>
      <c r="K542" s="19" t="str">
        <f>IFERROR(__xludf.DUMMYFUNCTION("""COMPUTED_VALUE"""),"Entregada")</f>
        <v>Entregada</v>
      </c>
      <c r="L542" s="20">
        <f>IFERROR(__xludf.DUMMYFUNCTION("""COMPUTED_VALUE"""),44854.0)</f>
        <v>44854</v>
      </c>
      <c r="M542" s="19" t="str">
        <f>IFERROR(__xludf.DUMMYFUNCTION("""COMPUTED_VALUE"""),"PP")</f>
        <v>PP</v>
      </c>
      <c r="N542" s="19" t="str">
        <f>IFERROR(__xludf.DUMMYFUNCTION("""COMPUTED_VALUE"""),"PRIORIDAD 1 Q3 2023 OCTUBRE")</f>
        <v>PRIORIDAD 1 Q3 2023 OCTUBRE</v>
      </c>
    </row>
    <row r="543" ht="15.75" customHeight="1">
      <c r="A543" s="19" t="str">
        <f>IFERROR(__xludf.DUMMYFUNCTION("""COMPUTED_VALUE"""),"AB_9425")</f>
        <v>AB_9425</v>
      </c>
      <c r="B543" s="19" t="str">
        <f>IFERROR(__xludf.DUMMYFUNCTION("""COMPUTED_VALUE"""),"AB_9425_C")</f>
        <v>AB_9425_C</v>
      </c>
      <c r="C543" s="19" t="str">
        <f>IFERROR(__xludf.DUMMYFUNCTION("""COMPUTED_VALUE"""),"LR9425")</f>
        <v>LR9425</v>
      </c>
      <c r="D543" s="19" t="str">
        <f>IFERROR(__xludf.DUMMYFUNCTION("""COMPUTED_VALUE"""),"Fundo Llao Llao")</f>
        <v>Fundo Llao Llao</v>
      </c>
      <c r="E543" s="19" t="str">
        <f>IFERROR(__xludf.DUMMYFUNCTION("""COMPUTED_VALUE"""),"SITIO RFI")</f>
        <v>SITIO RFI</v>
      </c>
      <c r="F543" s="19" t="str">
        <f>IFERROR(__xludf.DUMMYFUNCTION("""COMPUTED_VALUE"""),"RFI")</f>
        <v>RFI</v>
      </c>
      <c r="G543" s="19" t="str">
        <f>IFERROR(__xludf.DUMMYFUNCTION("""COMPUTED_VALUE"""),"MP42")</f>
        <v>MP42</v>
      </c>
      <c r="H543" s="19" t="str">
        <f>IFERROR(__xludf.DUMMYFUNCTION("""COMPUTED_VALUE"""),"MER")</f>
        <v>MER</v>
      </c>
      <c r="I543" s="19" t="str">
        <f>IFERROR(__xludf.DUMMYFUNCTION("""COMPUTED_VALUE"""),"Entregada")</f>
        <v>Entregada</v>
      </c>
      <c r="J543" s="20">
        <f>IFERROR(__xludf.DUMMYFUNCTION("""COMPUTED_VALUE"""),44862.0)</f>
        <v>44862</v>
      </c>
      <c r="K543" s="19" t="str">
        <f>IFERROR(__xludf.DUMMYFUNCTION("""COMPUTED_VALUE"""),"Entregada")</f>
        <v>Entregada</v>
      </c>
      <c r="L543" s="20">
        <f>IFERROR(__xludf.DUMMYFUNCTION("""COMPUTED_VALUE"""),44876.0)</f>
        <v>44876</v>
      </c>
      <c r="M543" s="19" t="str">
        <f>IFERROR(__xludf.DUMMYFUNCTION("""COMPUTED_VALUE"""),"PP")</f>
        <v>PP</v>
      </c>
      <c r="N543" s="19" t="str">
        <f>IFERROR(__xludf.DUMMYFUNCTION("""COMPUTED_VALUE"""),"PRIORIDAD 3 Q1 2024 MARZO")</f>
        <v>PRIORIDAD 3 Q1 2024 MARZO</v>
      </c>
    </row>
    <row r="544" ht="15.75" customHeight="1">
      <c r="A544" s="19" t="str">
        <f>IFERROR(__xludf.DUMMYFUNCTION("""COMPUTED_VALUE"""),"AB_9426")</f>
        <v>AB_9426</v>
      </c>
      <c r="B544" s="19" t="str">
        <f>IFERROR(__xludf.DUMMYFUNCTION("""COMPUTED_VALUE"""),"AB_9426_D")</f>
        <v>AB_9426_D</v>
      </c>
      <c r="C544" s="19" t="str">
        <f>IFERROR(__xludf.DUMMYFUNCTION("""COMPUTED_VALUE"""),"LR9426")</f>
        <v>LR9426</v>
      </c>
      <c r="D544" s="19" t="str">
        <f>IFERROR(__xludf.DUMMYFUNCTION("""COMPUTED_VALUE"""),"Pichiquema")</f>
        <v>Pichiquema</v>
      </c>
      <c r="E544" s="19" t="str">
        <f>IFERROR(__xludf.DUMMYFUNCTION("""COMPUTED_VALUE"""),"SITIO RFI")</f>
        <v>SITIO RFI</v>
      </c>
      <c r="F544" s="19" t="str">
        <f>IFERROR(__xludf.DUMMYFUNCTION("""COMPUTED_VALUE"""),"RFI")</f>
        <v>RFI</v>
      </c>
      <c r="G544" s="19" t="str">
        <f>IFERROR(__xludf.DUMMYFUNCTION("""COMPUTED_VALUE"""),"CV60")</f>
        <v>CV60</v>
      </c>
      <c r="H544" s="19" t="str">
        <f>IFERROR(__xludf.DUMMYFUNCTION("""COMPUTED_VALUE"""),"DEPROMET")</f>
        <v>DEPROMET</v>
      </c>
      <c r="I544" s="19" t="str">
        <f>IFERROR(__xludf.DUMMYFUNCTION("""COMPUTED_VALUE"""),"Entregada")</f>
        <v>Entregada</v>
      </c>
      <c r="J544" s="20">
        <f>IFERROR(__xludf.DUMMYFUNCTION("""COMPUTED_VALUE"""),44893.0)</f>
        <v>44893</v>
      </c>
      <c r="K544" s="19" t="str">
        <f>IFERROR(__xludf.DUMMYFUNCTION("""COMPUTED_VALUE"""),"Entregada")</f>
        <v>Entregada</v>
      </c>
      <c r="L544" s="20">
        <f>IFERROR(__xludf.DUMMYFUNCTION("""COMPUTED_VALUE"""),44911.0)</f>
        <v>44911</v>
      </c>
      <c r="M544" s="19" t="str">
        <f>IFERROR(__xludf.DUMMYFUNCTION("""COMPUTED_VALUE"""),"PP")</f>
        <v>PP</v>
      </c>
      <c r="N544" s="19" t="str">
        <f>IFERROR(__xludf.DUMMYFUNCTION("""COMPUTED_VALUE"""),"PRIORIDAD 1 Q3 2023 OCTUBRE")</f>
        <v>PRIORIDAD 1 Q3 2023 OCTUBRE</v>
      </c>
    </row>
    <row r="545" ht="15.75" customHeight="1">
      <c r="A545" s="19" t="str">
        <f>IFERROR(__xludf.DUMMYFUNCTION("""COMPUTED_VALUE"""),"AB_9636")</f>
        <v>AB_9636</v>
      </c>
      <c r="B545" s="19" t="str">
        <f>IFERROR(__xludf.DUMMYFUNCTION("""COMPUTED_VALUE"""),"AB_9636_E")</f>
        <v>AB_9636_E</v>
      </c>
      <c r="C545" s="19" t="str">
        <f>IFERROR(__xludf.DUMMYFUNCTION("""COMPUTED_VALUE"""),"LR9636")</f>
        <v>LR9636</v>
      </c>
      <c r="D545" s="19" t="str">
        <f>IFERROR(__xludf.DUMMYFUNCTION("""COMPUTED_VALUE"""),"Pupunahue")</f>
        <v>Pupunahue</v>
      </c>
      <c r="E545" s="19" t="str">
        <f>IFERROR(__xludf.DUMMYFUNCTION("""COMPUTED_VALUE"""),"SITIO EN CONSTRUCCION")</f>
        <v>SITIO EN CONSTRUCCION</v>
      </c>
      <c r="F545" s="19" t="str">
        <f>IFERROR(__xludf.DUMMYFUNCTION("""COMPUTED_VALUE"""),"HORMIGONADO")</f>
        <v>HORMIGONADO</v>
      </c>
      <c r="G545" s="19" t="str">
        <f>IFERROR(__xludf.DUMMYFUNCTION("""COMPUTED_VALUE"""),"AS60")</f>
        <v>AS60</v>
      </c>
      <c r="H545" s="19" t="str">
        <f>IFERROR(__xludf.DUMMYFUNCTION("""COMPUTED_VALUE"""),"MER")</f>
        <v>MER</v>
      </c>
      <c r="I545" s="19" t="str">
        <f>IFERROR(__xludf.DUMMYFUNCTION("""COMPUTED_VALUE"""),"Terminada")</f>
        <v>Terminada</v>
      </c>
      <c r="J545" s="20">
        <f>IFERROR(__xludf.DUMMYFUNCTION("""COMPUTED_VALUE"""),44876.0)</f>
        <v>44876</v>
      </c>
      <c r="K545" s="19" t="str">
        <f>IFERROR(__xludf.DUMMYFUNCTION("""COMPUTED_VALUE"""),"Por pintar ")</f>
        <v>Por pintar </v>
      </c>
      <c r="L545" s="20">
        <f>IFERROR(__xludf.DUMMYFUNCTION("""COMPUTED_VALUE"""),44904.0)</f>
        <v>44904</v>
      </c>
      <c r="M545" s="19" t="str">
        <f>IFERROR(__xludf.DUMMYFUNCTION("""COMPUTED_VALUE"""),"PP")</f>
        <v>PP</v>
      </c>
      <c r="N545" s="19" t="str">
        <f>IFERROR(__xludf.DUMMYFUNCTION("""COMPUTED_VALUE"""),"PRIORIDAD 1 Q3 2023 OCTUBRE")</f>
        <v>PRIORIDAD 1 Q3 2023 OCTUBRE</v>
      </c>
    </row>
    <row r="546" ht="15.75" customHeight="1">
      <c r="A546" s="19" t="str">
        <f>IFERROR(__xludf.DUMMYFUNCTION("""COMPUTED_VALUE"""),"AB_9667")</f>
        <v>AB_9667</v>
      </c>
      <c r="B546" s="19" t="str">
        <f>IFERROR(__xludf.DUMMYFUNCTION("""COMPUTED_VALUE"""),"AB_9667_C")</f>
        <v>AB_9667_C</v>
      </c>
      <c r="C546" s="19" t="str">
        <f>IFERROR(__xludf.DUMMYFUNCTION("""COMPUTED_VALUE"""),"LR9667")</f>
        <v>LR9667</v>
      </c>
      <c r="D546" s="19" t="str">
        <f>IFERROR(__xludf.DUMMYFUNCTION("""COMPUTED_VALUE"""),"Lipingue")</f>
        <v>Lipingue</v>
      </c>
      <c r="E546" s="19" t="str">
        <f>IFERROR(__xludf.DUMMYFUNCTION("""COMPUTED_VALUE"""),"SITIO RFI")</f>
        <v>SITIO RFI</v>
      </c>
      <c r="F546" s="19" t="str">
        <f>IFERROR(__xludf.DUMMYFUNCTION("""COMPUTED_VALUE"""),"RFI")</f>
        <v>RFI</v>
      </c>
      <c r="G546" s="19" t="str">
        <f>IFERROR(__xludf.DUMMYFUNCTION("""COMPUTED_VALUE"""),"AS60")</f>
        <v>AS60</v>
      </c>
      <c r="H546" s="19" t="str">
        <f>IFERROR(__xludf.DUMMYFUNCTION("""COMPUTED_VALUE"""),"MER")</f>
        <v>MER</v>
      </c>
      <c r="I546" s="19" t="str">
        <f>IFERROR(__xludf.DUMMYFUNCTION("""COMPUTED_VALUE"""),"Entregada")</f>
        <v>Entregada</v>
      </c>
      <c r="J546" s="20">
        <f>IFERROR(__xludf.DUMMYFUNCTION("""COMPUTED_VALUE"""),44881.0)</f>
        <v>44881</v>
      </c>
      <c r="K546" s="19" t="str">
        <f>IFERROR(__xludf.DUMMYFUNCTION("""COMPUTED_VALUE"""),"Entregada")</f>
        <v>Entregada</v>
      </c>
      <c r="L546" s="20">
        <f>IFERROR(__xludf.DUMMYFUNCTION("""COMPUTED_VALUE"""),44890.0)</f>
        <v>44890</v>
      </c>
      <c r="M546" s="19" t="str">
        <f>IFERROR(__xludf.DUMMYFUNCTION("""COMPUTED_VALUE"""),"PP")</f>
        <v>PP</v>
      </c>
      <c r="N546" s="19" t="str">
        <f>IFERROR(__xludf.DUMMYFUNCTION("""COMPUTED_VALUE"""),"PRIORIDAD 1 Q3 2023 OCTUBRE")</f>
        <v>PRIORIDAD 1 Q3 2023 OCTUBRE</v>
      </c>
    </row>
    <row r="547" ht="15.75" customHeight="1">
      <c r="A547" s="19" t="str">
        <f>IFERROR(__xludf.DUMMYFUNCTION("""COMPUTED_VALUE"""),"AB_9872")</f>
        <v>AB_9872</v>
      </c>
      <c r="B547" s="19" t="str">
        <f>IFERROR(__xludf.DUMMYFUNCTION("""COMPUTED_VALUE"""),"AB_9872_B")</f>
        <v>AB_9872_B</v>
      </c>
      <c r="C547" s="19" t="str">
        <f>IFERROR(__xludf.DUMMYFUNCTION("""COMPUTED_VALUE"""),"LR9872")</f>
        <v>LR9872</v>
      </c>
      <c r="D547" s="19" t="str">
        <f>IFERROR(__xludf.DUMMYFUNCTION("""COMPUTED_VALUE"""),"LLOO Santa Rosa")</f>
        <v>LLOO Santa Rosa</v>
      </c>
      <c r="E547" s="19" t="str">
        <f>IFERROR(__xludf.DUMMYFUNCTION("""COMPUTED_VALUE"""),"SITIO RFI")</f>
        <v>SITIO RFI</v>
      </c>
      <c r="F547" s="19" t="str">
        <f>IFERROR(__xludf.DUMMYFUNCTION("""COMPUTED_VALUE"""),"RFI")</f>
        <v>RFI</v>
      </c>
      <c r="G547" s="19" t="str">
        <f>IFERROR(__xludf.DUMMYFUNCTION("""COMPUTED_VALUE"""),"AS48")</f>
        <v>AS48</v>
      </c>
      <c r="H547" s="19" t="str">
        <f>IFERROR(__xludf.DUMMYFUNCTION("""COMPUTED_VALUE"""),"METALING")</f>
        <v>METALING</v>
      </c>
      <c r="I547" s="19" t="str">
        <f>IFERROR(__xludf.DUMMYFUNCTION("""COMPUTED_VALUE"""),"Entregada")</f>
        <v>Entregada</v>
      </c>
      <c r="J547" s="20">
        <f>IFERROR(__xludf.DUMMYFUNCTION("""COMPUTED_VALUE"""),44869.0)</f>
        <v>44869</v>
      </c>
      <c r="K547" s="19" t="str">
        <f>IFERROR(__xludf.DUMMYFUNCTION("""COMPUTED_VALUE"""),"Entregada")</f>
        <v>Entregada</v>
      </c>
      <c r="L547" s="20">
        <f>IFERROR(__xludf.DUMMYFUNCTION("""COMPUTED_VALUE"""),44915.0)</f>
        <v>44915</v>
      </c>
      <c r="M547" s="19" t="str">
        <f>IFERROR(__xludf.DUMMYFUNCTION("""COMPUTED_VALUE"""),"LLOO")</f>
        <v>LLOO</v>
      </c>
      <c r="N547" s="19" t="str">
        <f>IFERROR(__xludf.DUMMYFUNCTION("""COMPUTED_VALUE"""),"PRIORIDAD 1 Q3 2023 OCTUBRE")</f>
        <v>PRIORIDAD 1 Q3 2023 OCTUBRE</v>
      </c>
    </row>
    <row r="548" ht="15.75" customHeight="1">
      <c r="A548" s="19" t="str">
        <f>IFERROR(__xludf.DUMMYFUNCTION("""COMPUTED_VALUE"""),"AB_9873")</f>
        <v>AB_9873</v>
      </c>
      <c r="B548" s="19" t="str">
        <f>IFERROR(__xludf.DUMMYFUNCTION("""COMPUTED_VALUE"""),"AB_9873_C")</f>
        <v>AB_9873_C</v>
      </c>
      <c r="C548" s="19" t="str">
        <f>IFERROR(__xludf.DUMMYFUNCTION("""COMPUTED_VALUE"""),"LR9873")</f>
        <v>LR9873</v>
      </c>
      <c r="D548" s="19" t="str">
        <f>IFERROR(__xludf.DUMMYFUNCTION("""COMPUTED_VALUE"""),"LLOO Itropulli")</f>
        <v>LLOO Itropulli</v>
      </c>
      <c r="E548" s="19" t="str">
        <f>IFERROR(__xludf.DUMMYFUNCTION("""COMPUTED_VALUE"""),"SITIO RFI")</f>
        <v>SITIO RFI</v>
      </c>
      <c r="F548" s="19" t="str">
        <f>IFERROR(__xludf.DUMMYFUNCTION("""COMPUTED_VALUE"""),"RFI")</f>
        <v>RFI</v>
      </c>
      <c r="G548" s="19" t="str">
        <f>IFERROR(__xludf.DUMMYFUNCTION("""COMPUTED_VALUE"""),"AS48")</f>
        <v>AS48</v>
      </c>
      <c r="H548" s="19" t="str">
        <f>IFERROR(__xludf.DUMMYFUNCTION("""COMPUTED_VALUE"""),"METALING")</f>
        <v>METALING</v>
      </c>
      <c r="I548" s="19" t="str">
        <f>IFERROR(__xludf.DUMMYFUNCTION("""COMPUTED_VALUE"""),"Entregada")</f>
        <v>Entregada</v>
      </c>
      <c r="J548" s="20">
        <f>IFERROR(__xludf.DUMMYFUNCTION("""COMPUTED_VALUE"""),44869.0)</f>
        <v>44869</v>
      </c>
      <c r="K548" s="19" t="str">
        <f>IFERROR(__xludf.DUMMYFUNCTION("""COMPUTED_VALUE"""),"Entregada")</f>
        <v>Entregada</v>
      </c>
      <c r="L548" s="20">
        <f>IFERROR(__xludf.DUMMYFUNCTION("""COMPUTED_VALUE"""),44915.0)</f>
        <v>44915</v>
      </c>
      <c r="M548" s="19" t="str">
        <f>IFERROR(__xludf.DUMMYFUNCTION("""COMPUTED_VALUE"""),"LLOO")</f>
        <v>LLOO</v>
      </c>
      <c r="N548" s="19" t="str">
        <f>IFERROR(__xludf.DUMMYFUNCTION("""COMPUTED_VALUE"""),"PRIORIDAD 1 Q3 2023 OCTUBRE")</f>
        <v>PRIORIDAD 1 Q3 2023 OCTUBRE</v>
      </c>
    </row>
    <row r="549" ht="15.75" customHeight="1">
      <c r="A549" s="19" t="str">
        <f>IFERROR(__xludf.DUMMYFUNCTION("""COMPUTED_VALUE"""),"AB_9877")</f>
        <v>AB_9877</v>
      </c>
      <c r="B549" s="19" t="str">
        <f>IFERROR(__xludf.DUMMYFUNCTION("""COMPUTED_VALUE"""),"AB_9877_C")</f>
        <v>AB_9877_C</v>
      </c>
      <c r="C549" s="19" t="str">
        <f>IFERROR(__xludf.DUMMYFUNCTION("""COMPUTED_VALUE"""),"LR9877")</f>
        <v>LR9877</v>
      </c>
      <c r="D549" s="19" t="str">
        <f>IFERROR(__xludf.DUMMYFUNCTION("""COMPUTED_VALUE"""),"LLOO Panguinilahue")</f>
        <v>LLOO Panguinilahue</v>
      </c>
      <c r="E549" s="19" t="str">
        <f>IFERROR(__xludf.DUMMYFUNCTION("""COMPUTED_VALUE"""),"SITIO RFI")</f>
        <v>SITIO RFI</v>
      </c>
      <c r="F549" s="19" t="str">
        <f>IFERROR(__xludf.DUMMYFUNCTION("""COMPUTED_VALUE"""),"RFI")</f>
        <v>RFI</v>
      </c>
      <c r="G549" s="19" t="str">
        <f>IFERROR(__xludf.DUMMYFUNCTION("""COMPUTED_VALUE"""),"AS48")</f>
        <v>AS48</v>
      </c>
      <c r="H549" s="19" t="str">
        <f>IFERROR(__xludf.DUMMYFUNCTION("""COMPUTED_VALUE"""),"METALING")</f>
        <v>METALING</v>
      </c>
      <c r="I549" s="19" t="str">
        <f>IFERROR(__xludf.DUMMYFUNCTION("""COMPUTED_VALUE"""),"Entregada")</f>
        <v>Entregada</v>
      </c>
      <c r="J549" s="20">
        <f>IFERROR(__xludf.DUMMYFUNCTION("""COMPUTED_VALUE"""),44869.0)</f>
        <v>44869</v>
      </c>
      <c r="K549" s="19" t="str">
        <f>IFERROR(__xludf.DUMMYFUNCTION("""COMPUTED_VALUE"""),"Entregada")</f>
        <v>Entregada</v>
      </c>
      <c r="L549" s="20">
        <f>IFERROR(__xludf.DUMMYFUNCTION("""COMPUTED_VALUE"""),44915.0)</f>
        <v>44915</v>
      </c>
      <c r="M549" s="19" t="str">
        <f>IFERROR(__xludf.DUMMYFUNCTION("""COMPUTED_VALUE"""),"LLOO")</f>
        <v>LLOO</v>
      </c>
      <c r="N549" s="19" t="str">
        <f>IFERROR(__xludf.DUMMYFUNCTION("""COMPUTED_VALUE"""),"PRIORIDAD 1 Q3 2023 OCTUBRE")</f>
        <v>PRIORIDAD 1 Q3 2023 OCTUBRE</v>
      </c>
    </row>
    <row r="550" ht="15.75" customHeight="1">
      <c r="A550" s="19" t="str">
        <f>IFERROR(__xludf.DUMMYFUNCTION("""COMPUTED_VALUE"""),"AB_9878")</f>
        <v>AB_9878</v>
      </c>
      <c r="B550" s="19" t="str">
        <f>IFERROR(__xludf.DUMMYFUNCTION("""COMPUTED_VALUE"""),"AB_9878_C")</f>
        <v>AB_9878_C</v>
      </c>
      <c r="C550" s="19" t="str">
        <f>IFERROR(__xludf.DUMMYFUNCTION("""COMPUTED_VALUE"""),"LR9878")</f>
        <v>LR9878</v>
      </c>
      <c r="D550" s="19" t="str">
        <f>IFERROR(__xludf.DUMMYFUNCTION("""COMPUTED_VALUE"""),"LLOO Pichico")</f>
        <v>LLOO Pichico</v>
      </c>
      <c r="E550" s="19" t="str">
        <f>IFERROR(__xludf.DUMMYFUNCTION("""COMPUTED_VALUE"""),"SITIO EN CONSTRUCCION")</f>
        <v>SITIO EN CONSTRUCCION</v>
      </c>
      <c r="F550" s="19" t="str">
        <f>IFERROR(__xludf.DUMMYFUNCTION("""COMPUTED_VALUE"""),"MONTAJE")</f>
        <v>MONTAJE</v>
      </c>
      <c r="G550" s="19" t="str">
        <f>IFERROR(__xludf.DUMMYFUNCTION("""COMPUTED_VALUE"""),"CV60")</f>
        <v>CV60</v>
      </c>
      <c r="H550" s="19" t="str">
        <f>IFERROR(__xludf.DUMMYFUNCTION("""COMPUTED_VALUE"""),"AJ")</f>
        <v>AJ</v>
      </c>
      <c r="I550" s="19" t="str">
        <f>IFERROR(__xludf.DUMMYFUNCTION("""COMPUTED_VALUE"""),"Entregada")</f>
        <v>Entregada</v>
      </c>
      <c r="J550" s="20">
        <f>IFERROR(__xludf.DUMMYFUNCTION("""COMPUTED_VALUE"""),44732.0)</f>
        <v>44732</v>
      </c>
      <c r="K550" s="19" t="str">
        <f>IFERROR(__xludf.DUMMYFUNCTION("""COMPUTED_VALUE"""),"Entregada")</f>
        <v>Entregada</v>
      </c>
      <c r="L550" s="20">
        <f>IFERROR(__xludf.DUMMYFUNCTION("""COMPUTED_VALUE"""),44880.0)</f>
        <v>44880</v>
      </c>
      <c r="M550" s="19" t="str">
        <f>IFERROR(__xludf.DUMMYFUNCTION("""COMPUTED_VALUE"""),"LLOO")</f>
        <v>LLOO</v>
      </c>
      <c r="N550" s="19" t="str">
        <f>IFERROR(__xludf.DUMMYFUNCTION("""COMPUTED_VALUE"""),"PRIORIDAD 1 Q3 2023 OCTUBRE")</f>
        <v>PRIORIDAD 1 Q3 2023 OCTUBRE</v>
      </c>
    </row>
    <row r="551" ht="15.75" customHeight="1">
      <c r="A551" s="19" t="str">
        <f>IFERROR(__xludf.DUMMYFUNCTION("""COMPUTED_VALUE"""),"AB_9879")</f>
        <v>AB_9879</v>
      </c>
      <c r="B551" s="19" t="str">
        <f>IFERROR(__xludf.DUMMYFUNCTION("""COMPUTED_VALUE"""),"AB_9879_C")</f>
        <v>AB_9879_C</v>
      </c>
      <c r="C551" s="19" t="str">
        <f>IFERROR(__xludf.DUMMYFUNCTION("""COMPUTED_VALUE"""),"LR9879")</f>
        <v>LR9879</v>
      </c>
      <c r="D551" s="19" t="str">
        <f>IFERROR(__xludf.DUMMYFUNCTION("""COMPUTED_VALUE"""),"LLOO Comunidad Vicente Reinahuel (Trafun Chico)")</f>
        <v>LLOO Comunidad Vicente Reinahuel (Trafun Chico)</v>
      </c>
      <c r="E551" s="19" t="str">
        <f>IFERROR(__xludf.DUMMYFUNCTION("""COMPUTED_VALUE"""),"SITIO RFI")</f>
        <v>SITIO RFI</v>
      </c>
      <c r="F551" s="19" t="str">
        <f>IFERROR(__xludf.DUMMYFUNCTION("""COMPUTED_VALUE"""),"RFI")</f>
        <v>RFI</v>
      </c>
      <c r="G551" s="19" t="str">
        <f>IFERROR(__xludf.DUMMYFUNCTION("""COMPUTED_VALUE"""),"AS72")</f>
        <v>AS72</v>
      </c>
      <c r="H551" s="19" t="str">
        <f>IFERROR(__xludf.DUMMYFUNCTION("""COMPUTED_VALUE"""),"MER")</f>
        <v>MER</v>
      </c>
      <c r="I551" s="19" t="str">
        <f>IFERROR(__xludf.DUMMYFUNCTION("""COMPUTED_VALUE"""),"Entregada")</f>
        <v>Entregada</v>
      </c>
      <c r="J551" s="20">
        <f>IFERROR(__xludf.DUMMYFUNCTION("""COMPUTED_VALUE"""),44881.0)</f>
        <v>44881</v>
      </c>
      <c r="K551" s="19" t="str">
        <f>IFERROR(__xludf.DUMMYFUNCTION("""COMPUTED_VALUE"""),"Entregada")</f>
        <v>Entregada</v>
      </c>
      <c r="L551" s="20">
        <f>IFERROR(__xludf.DUMMYFUNCTION("""COMPUTED_VALUE"""),44897.0)</f>
        <v>44897</v>
      </c>
      <c r="M551" s="19" t="str">
        <f>IFERROR(__xludf.DUMMYFUNCTION("""COMPUTED_VALUE"""),"LLOO")</f>
        <v>LLOO</v>
      </c>
      <c r="N551" s="19" t="str">
        <f>IFERROR(__xludf.DUMMYFUNCTION("""COMPUTED_VALUE"""),"PRIORIDAD 1 Q3 2023 OCTUBRE")</f>
        <v>PRIORIDAD 1 Q3 2023 OCTUBRE</v>
      </c>
    </row>
    <row r="552" ht="15.75" customHeight="1">
      <c r="A552" s="19" t="str">
        <f>IFERROR(__xludf.DUMMYFUNCTION("""COMPUTED_VALUE"""),"AB_9899")</f>
        <v>AB_9899</v>
      </c>
      <c r="B552" s="19" t="str">
        <f>IFERROR(__xludf.DUMMYFUNCTION("""COMPUTED_VALUE"""),"AB_9899_A")</f>
        <v>AB_9899_A</v>
      </c>
      <c r="C552" s="19" t="str">
        <f>IFERROR(__xludf.DUMMYFUNCTION("""COMPUTED_VALUE"""),"LL9899")</f>
        <v>LL9899</v>
      </c>
      <c r="D552" s="19" t="str">
        <f>IFERROR(__xludf.DUMMYFUNCTION("""COMPUTED_VALUE"""),"LLOO Rollizo")</f>
        <v>LLOO Rollizo</v>
      </c>
      <c r="E552" s="19" t="str">
        <f>IFERROR(__xludf.DUMMYFUNCTION("""COMPUTED_VALUE"""),"SITIO RFI")</f>
        <v>SITIO RFI</v>
      </c>
      <c r="F552" s="19" t="str">
        <f>IFERROR(__xludf.DUMMYFUNCTION("""COMPUTED_VALUE"""),"RFI")</f>
        <v>RFI</v>
      </c>
      <c r="G552" s="19" t="str">
        <f>IFERROR(__xludf.DUMMYFUNCTION("""COMPUTED_VALUE"""),"AS60")</f>
        <v>AS60</v>
      </c>
      <c r="H552" s="19" t="str">
        <f>IFERROR(__xludf.DUMMYFUNCTION("""COMPUTED_VALUE"""),"ADM")</f>
        <v>ADM</v>
      </c>
      <c r="I552" s="19" t="str">
        <f>IFERROR(__xludf.DUMMYFUNCTION("""COMPUTED_VALUE"""),"Entregada")</f>
        <v>Entregada</v>
      </c>
      <c r="J552" s="20">
        <f>IFERROR(__xludf.DUMMYFUNCTION("""COMPUTED_VALUE"""),44750.0)</f>
        <v>44750</v>
      </c>
      <c r="K552" s="19" t="str">
        <f>IFERROR(__xludf.DUMMYFUNCTION("""COMPUTED_VALUE"""),"Entregada")</f>
        <v>Entregada</v>
      </c>
      <c r="L552" s="20">
        <f>IFERROR(__xludf.DUMMYFUNCTION("""COMPUTED_VALUE"""),44890.0)</f>
        <v>44890</v>
      </c>
      <c r="M552" s="19" t="str">
        <f>IFERROR(__xludf.DUMMYFUNCTION("""COMPUTED_VALUE"""),"LLOO")</f>
        <v>LLOO</v>
      </c>
      <c r="N552" s="19" t="str">
        <f>IFERROR(__xludf.DUMMYFUNCTION("""COMPUTED_VALUE"""),"PRIORIDAD 1 Q3 2023 OCTUBRE")</f>
        <v>PRIORIDAD 1 Q3 2023 OCTUBRE</v>
      </c>
    </row>
    <row r="553" ht="15.75" customHeight="1">
      <c r="A553" s="19" t="str">
        <f>IFERROR(__xludf.DUMMYFUNCTION("""COMPUTED_VALUE"""),"AB_9887")</f>
        <v>AB_9887</v>
      </c>
      <c r="B553" s="19" t="str">
        <f>IFERROR(__xludf.DUMMYFUNCTION("""COMPUTED_VALUE"""),"AB_9887_A")</f>
        <v>AB_9887_A</v>
      </c>
      <c r="C553" s="19" t="str">
        <f>IFERROR(__xludf.DUMMYFUNCTION("""COMPUTED_VALUE"""),"LR9887")</f>
        <v>LR9887</v>
      </c>
      <c r="D553" s="19" t="str">
        <f>IFERROR(__xludf.DUMMYFUNCTION("""COMPUTED_VALUE"""),"LLOO Cadillal Alto - Cadillal Bajo")</f>
        <v>LLOO Cadillal Alto - Cadillal Bajo</v>
      </c>
      <c r="E553" s="19" t="str">
        <f>IFERROR(__xludf.DUMMYFUNCTION("""COMPUTED_VALUE"""),"SITIO RFI")</f>
        <v>SITIO RFI</v>
      </c>
      <c r="F553" s="19" t="str">
        <f>IFERROR(__xludf.DUMMYFUNCTION("""COMPUTED_VALUE"""),"RFI")</f>
        <v>RFI</v>
      </c>
      <c r="G553" s="19" t="str">
        <f>IFERROR(__xludf.DUMMYFUNCTION("""COMPUTED_VALUE"""),"CV60")</f>
        <v>CV60</v>
      </c>
      <c r="H553" s="19" t="str">
        <f>IFERROR(__xludf.DUMMYFUNCTION("""COMPUTED_VALUE"""),"MER")</f>
        <v>MER</v>
      </c>
      <c r="I553" s="19" t="str">
        <f>IFERROR(__xludf.DUMMYFUNCTION("""COMPUTED_VALUE"""),"Entregada")</f>
        <v>Entregada</v>
      </c>
      <c r="J553" s="20">
        <f>IFERROR(__xludf.DUMMYFUNCTION("""COMPUTED_VALUE"""),44673.0)</f>
        <v>44673</v>
      </c>
      <c r="K553" s="19" t="str">
        <f>IFERROR(__xludf.DUMMYFUNCTION("""COMPUTED_VALUE"""),"Entregada")</f>
        <v>Entregada</v>
      </c>
      <c r="L553" s="20">
        <f>IFERROR(__xludf.DUMMYFUNCTION("""COMPUTED_VALUE"""),44722.0)</f>
        <v>44722</v>
      </c>
      <c r="M553" s="19" t="str">
        <f>IFERROR(__xludf.DUMMYFUNCTION("""COMPUTED_VALUE"""),"PCM")</f>
        <v>PCM</v>
      </c>
      <c r="N553" s="19" t="str">
        <f>IFERROR(__xludf.DUMMYFUNCTION("""COMPUTED_VALUE"""),"PRIORIDAD 1 Q3 2023 OCTUBRE")</f>
        <v>PRIORIDAD 1 Q3 2023 OCTUBRE</v>
      </c>
    </row>
    <row r="554" ht="15.75" customHeight="1">
      <c r="A554" s="19" t="str">
        <f>IFERROR(__xludf.DUMMYFUNCTION("""COMPUTED_VALUE"""),"AB_9903")</f>
        <v>AB_9903</v>
      </c>
      <c r="B554" s="19" t="str">
        <f>IFERROR(__xludf.DUMMYFUNCTION("""COMPUTED_VALUE"""),"AB_9903_A")</f>
        <v>AB_9903_A</v>
      </c>
      <c r="C554" s="19" t="str">
        <f>IFERROR(__xludf.DUMMYFUNCTION("""COMPUTED_VALUE"""),"LR9903")</f>
        <v>LR9903</v>
      </c>
      <c r="D554" s="19" t="str">
        <f>IFERROR(__xludf.DUMMYFUNCTION("""COMPUTED_VALUE"""),"LLOO Piren")</f>
        <v>LLOO Piren</v>
      </c>
      <c r="E554" s="19" t="str">
        <f>IFERROR(__xludf.DUMMYFUNCTION("""COMPUTED_VALUE"""),"DETENIDO MAYORISTA")</f>
        <v>DETENIDO MAYORISTA</v>
      </c>
      <c r="F554" s="19"/>
      <c r="G554" s="19" t="str">
        <f>IFERROR(__xludf.DUMMYFUNCTION("""COMPUTED_VALUE"""),"CV60")</f>
        <v>CV60</v>
      </c>
      <c r="H554" s="19" t="str">
        <f>IFERROR(__xludf.DUMMYFUNCTION("""COMPUTED_VALUE"""),"")</f>
        <v/>
      </c>
      <c r="I554" s="19" t="str">
        <f>IFERROR(__xludf.DUMMYFUNCTION("""COMPUTED_VALUE"""),"")</f>
        <v/>
      </c>
      <c r="J554" s="20" t="str">
        <f>IFERROR(__xludf.DUMMYFUNCTION("""COMPUTED_VALUE"""),"")</f>
        <v/>
      </c>
      <c r="K554" s="19" t="str">
        <f>IFERROR(__xludf.DUMMYFUNCTION("""COMPUTED_VALUE"""),"")</f>
        <v/>
      </c>
      <c r="L554" s="20" t="str">
        <f>IFERROR(__xludf.DUMMYFUNCTION("""COMPUTED_VALUE"""),"")</f>
        <v/>
      </c>
      <c r="M554" s="19" t="str">
        <f>IFERROR(__xludf.DUMMYFUNCTION("""COMPUTED_VALUE"""),"LLOO")</f>
        <v>LLOO</v>
      </c>
      <c r="N554" s="19" t="str">
        <f>IFERROR(__xludf.DUMMYFUNCTION("""COMPUTED_VALUE"""),"PRIORIDAD 3 Q1 2024 MARZO")</f>
        <v>PRIORIDAD 3 Q1 2024 MARZO</v>
      </c>
    </row>
    <row r="555" ht="15.75" customHeight="1">
      <c r="A555" s="19" t="str">
        <f>IFERROR(__xludf.DUMMYFUNCTION("""COMPUTED_VALUE"""),"AB_10074")</f>
        <v>AB_10074</v>
      </c>
      <c r="B555" s="19" t="str">
        <f>IFERROR(__xludf.DUMMYFUNCTION("""COMPUTED_VALUE"""),"AB_10074_A")</f>
        <v>AB_10074_A</v>
      </c>
      <c r="C555" s="19" t="str">
        <f>IFERROR(__xludf.DUMMYFUNCTION("""COMPUTED_VALUE"""),"MA10074")</f>
        <v>MA10074</v>
      </c>
      <c r="D555" s="19" t="str">
        <f>IFERROR(__xludf.DUMMYFUNCTION("""COMPUTED_VALUE"""),"Monjes Blancos")</f>
        <v>Monjes Blancos</v>
      </c>
      <c r="E555" s="19" t="str">
        <f>IFERROR(__xludf.DUMMYFUNCTION("""COMPUTED_VALUE"""),"SITIO PENDIENTE")</f>
        <v>SITIO PENDIENTE</v>
      </c>
      <c r="F555" s="19"/>
      <c r="G555" s="19" t="str">
        <f>IFERROR(__xludf.DUMMYFUNCTION("""COMPUTED_VALUE"""),"CV60")</f>
        <v>CV60</v>
      </c>
      <c r="H555" s="19" t="str">
        <f>IFERROR(__xludf.DUMMYFUNCTION("""COMPUTED_VALUE"""),"")</f>
        <v/>
      </c>
      <c r="I555" s="19" t="str">
        <f>IFERROR(__xludf.DUMMYFUNCTION("""COMPUTED_VALUE"""),"")</f>
        <v/>
      </c>
      <c r="J555" s="20" t="str">
        <f>IFERROR(__xludf.DUMMYFUNCTION("""COMPUTED_VALUE"""),"")</f>
        <v/>
      </c>
      <c r="K555" s="19" t="str">
        <f>IFERROR(__xludf.DUMMYFUNCTION("""COMPUTED_VALUE"""),"")</f>
        <v/>
      </c>
      <c r="L555" s="20" t="str">
        <f>IFERROR(__xludf.DUMMYFUNCTION("""COMPUTED_VALUE"""),"")</f>
        <v/>
      </c>
      <c r="M555" s="19" t="str">
        <f>IFERROR(__xludf.DUMMYFUNCTION("""COMPUTED_VALUE"""),"PP")</f>
        <v>PP</v>
      </c>
      <c r="N555" s="19" t="str">
        <f>IFERROR(__xludf.DUMMYFUNCTION("""COMPUTED_VALUE"""),"PRIORIDAD 3 Q1 2024 MARZO")</f>
        <v>PRIORIDAD 3 Q1 2024 MARZO</v>
      </c>
    </row>
    <row r="556" ht="15.75" customHeight="1">
      <c r="A556" s="19" t="str">
        <f>IFERROR(__xludf.DUMMYFUNCTION("""COMPUTED_VALUE"""),"AB_10105")</f>
        <v>AB_10105</v>
      </c>
      <c r="B556" s="19" t="str">
        <f>IFERROR(__xludf.DUMMYFUNCTION("""COMPUTED_VALUE"""),"AB_10105_B")</f>
        <v>AB_10105_B</v>
      </c>
      <c r="C556" s="19" t="str">
        <f>IFERROR(__xludf.DUMMYFUNCTION("""COMPUTED_VALUE"""),"MA10105")</f>
        <v>MA10105</v>
      </c>
      <c r="D556" s="19" t="str">
        <f>IFERROR(__xludf.DUMMYFUNCTION("""COMPUTED_VALUE"""),"Ruta Bobadilla")</f>
        <v>Ruta Bobadilla</v>
      </c>
      <c r="E556" s="19" t="str">
        <f>IFERROR(__xludf.DUMMYFUNCTION("""COMPUTED_VALUE"""),"SITIO RFI")</f>
        <v>SITIO RFI</v>
      </c>
      <c r="F556" s="19" t="str">
        <f>IFERROR(__xludf.DUMMYFUNCTION("""COMPUTED_VALUE"""),"RFI")</f>
        <v>RFI</v>
      </c>
      <c r="G556" s="19" t="str">
        <f>IFERROR(__xludf.DUMMYFUNCTION("""COMPUTED_VALUE"""),"CV48")</f>
        <v>CV48</v>
      </c>
      <c r="H556" s="19" t="str">
        <f>IFERROR(__xludf.DUMMYFUNCTION("""COMPUTED_VALUE"""),"DEITEL")</f>
        <v>DEITEL</v>
      </c>
      <c r="I556" s="19" t="str">
        <f>IFERROR(__xludf.DUMMYFUNCTION("""COMPUTED_VALUE"""),"Entregada")</f>
        <v>Entregada</v>
      </c>
      <c r="J556" s="20">
        <f>IFERROR(__xludf.DUMMYFUNCTION("""COMPUTED_VALUE"""),44902.0)</f>
        <v>44902</v>
      </c>
      <c r="K556" s="19" t="str">
        <f>IFERROR(__xludf.DUMMYFUNCTION("""COMPUTED_VALUE"""),"Entregada")</f>
        <v>Entregada</v>
      </c>
      <c r="L556" s="20">
        <f>IFERROR(__xludf.DUMMYFUNCTION("""COMPUTED_VALUE"""),44902.0)</f>
        <v>44902</v>
      </c>
      <c r="M556" s="19" t="str">
        <f>IFERROR(__xludf.DUMMYFUNCTION("""COMPUTED_VALUE"""),"LLOO")</f>
        <v>LLOO</v>
      </c>
      <c r="N556" s="19" t="str">
        <f>IFERROR(__xludf.DUMMYFUNCTION("""COMPUTED_VALUE"""),"PRIORIDAD 1 Q3 2023 OCTUBRE")</f>
        <v>PRIORIDAD 1 Q3 2023 OCTUBRE</v>
      </c>
    </row>
    <row r="557" ht="15.75" customHeight="1">
      <c r="A557" s="19" t="str">
        <f>IFERROR(__xludf.DUMMYFUNCTION("""COMPUTED_VALUE"""),"AB_10137")</f>
        <v>AB_10137</v>
      </c>
      <c r="B557" s="19" t="str">
        <f>IFERROR(__xludf.DUMMYFUNCTION("""COMPUTED_VALUE"""),"AB_10137_F")</f>
        <v>AB_10137_F</v>
      </c>
      <c r="C557" s="19" t="str">
        <f>IFERROR(__xludf.DUMMYFUNCTION("""COMPUTED_VALUE"""),"MA10137")</f>
        <v>MA10137</v>
      </c>
      <c r="D557" s="19" t="str">
        <f>IFERROR(__xludf.DUMMYFUNCTION("""COMPUTED_VALUE"""),"Universidad de Talca IES 23")</f>
        <v>Universidad de Talca IES 23</v>
      </c>
      <c r="E557" s="19" t="str">
        <f>IFERROR(__xludf.DUMMYFUNCTION("""COMPUTED_VALUE"""),"SITIO RFI")</f>
        <v>SITIO RFI</v>
      </c>
      <c r="F557" s="19" t="str">
        <f>IFERROR(__xludf.DUMMYFUNCTION("""COMPUTED_VALUE"""),"RFI")</f>
        <v>RFI</v>
      </c>
      <c r="G557" s="19" t="str">
        <f>IFERROR(__xludf.DUMMYFUNCTION("""COMPUTED_VALUE"""),"MP R30")</f>
        <v>MP R30</v>
      </c>
      <c r="H557" s="19" t="str">
        <f>IFERROR(__xludf.DUMMYFUNCTION("""COMPUTED_VALUE"""),"MER")</f>
        <v>MER</v>
      </c>
      <c r="I557" s="19" t="str">
        <f>IFERROR(__xludf.DUMMYFUNCTION("""COMPUTED_VALUE"""),"Entregada")</f>
        <v>Entregada</v>
      </c>
      <c r="J557" s="20">
        <f>IFERROR(__xludf.DUMMYFUNCTION("""COMPUTED_VALUE"""),44771.0)</f>
        <v>44771</v>
      </c>
      <c r="K557" s="19" t="str">
        <f>IFERROR(__xludf.DUMMYFUNCTION("""COMPUTED_VALUE"""),"Entregada")</f>
        <v>Entregada</v>
      </c>
      <c r="L557" s="20">
        <f>IFERROR(__xludf.DUMMYFUNCTION("""COMPUTED_VALUE"""),44803.0)</f>
        <v>44803</v>
      </c>
      <c r="M557" s="19" t="str">
        <f>IFERROR(__xludf.DUMMYFUNCTION("""COMPUTED_VALUE"""),"PP")</f>
        <v>PP</v>
      </c>
      <c r="N557" s="19" t="str">
        <f>IFERROR(__xludf.DUMMYFUNCTION("""COMPUTED_VALUE"""),"PRIORIDAD 1 Q3 2023 OCTUBRE")</f>
        <v>PRIORIDAD 1 Q3 2023 OCTUBRE</v>
      </c>
    </row>
    <row r="558" ht="15.75" customHeight="1">
      <c r="A558" s="19" t="str">
        <f>IFERROR(__xludf.DUMMYFUNCTION("""COMPUTED_VALUE"""),"AB_10156")</f>
        <v>AB_10156</v>
      </c>
      <c r="B558" s="19" t="str">
        <f>IFERROR(__xludf.DUMMYFUNCTION("""COMPUTED_VALUE"""),"AB_10156_F")</f>
        <v>AB_10156_F</v>
      </c>
      <c r="C558" s="19" t="str">
        <f>IFERROR(__xludf.DUMMYFUNCTION("""COMPUTED_VALUE"""),"MA10156")</f>
        <v>MA10156</v>
      </c>
      <c r="D558" s="19" t="str">
        <f>IFERROR(__xludf.DUMMYFUNCTION("""COMPUTED_VALUE"""),"Universidad de Talca 2")</f>
        <v>Universidad de Talca 2</v>
      </c>
      <c r="E558" s="19" t="str">
        <f>IFERROR(__xludf.DUMMYFUNCTION("""COMPUTED_VALUE"""),"SITIO PENDIENTE")</f>
        <v>SITIO PENDIENTE</v>
      </c>
      <c r="F558" s="19"/>
      <c r="G558" s="19" t="str">
        <f>IFERROR(__xludf.DUMMYFUNCTION("""COMPUTED_VALUE"""),"x")</f>
        <v>x</v>
      </c>
      <c r="H558" s="19" t="str">
        <f>IFERROR(__xludf.DUMMYFUNCTION("""COMPUTED_VALUE"""),"x")</f>
        <v>x</v>
      </c>
      <c r="I558" s="19" t="str">
        <f>IFERROR(__xludf.DUMMYFUNCTION("""COMPUTED_VALUE"""),"x")</f>
        <v>x</v>
      </c>
      <c r="J558" s="20" t="str">
        <f>IFERROR(__xludf.DUMMYFUNCTION("""COMPUTED_VALUE"""),"x")</f>
        <v>x</v>
      </c>
      <c r="K558" s="19" t="str">
        <f>IFERROR(__xludf.DUMMYFUNCTION("""COMPUTED_VALUE"""),"x")</f>
        <v>x</v>
      </c>
      <c r="L558" s="20" t="str">
        <f>IFERROR(__xludf.DUMMYFUNCTION("""COMPUTED_VALUE"""),"x")</f>
        <v>x</v>
      </c>
      <c r="M558" s="19" t="str">
        <f>IFERROR(__xludf.DUMMYFUNCTION("""COMPUTED_VALUE"""),"PCM")</f>
        <v>PCM</v>
      </c>
      <c r="N558" s="19" t="str">
        <f>IFERROR(__xludf.DUMMYFUNCTION("""COMPUTED_VALUE"""),"PRIORIDAD 3 Q1 2024 MARZO")</f>
        <v>PRIORIDAD 3 Q1 2024 MARZO</v>
      </c>
    </row>
    <row r="559" ht="15.75" customHeight="1">
      <c r="A559" s="19" t="str">
        <f>IFERROR(__xludf.DUMMYFUNCTION("""COMPUTED_VALUE"""),"AB_10186")</f>
        <v>AB_10186</v>
      </c>
      <c r="B559" s="19" t="str">
        <f>IFERROR(__xludf.DUMMYFUNCTION("""COMPUTED_VALUE"""),"AB_10186_B")</f>
        <v>AB_10186_B</v>
      </c>
      <c r="C559" s="19" t="str">
        <f>IFERROR(__xludf.DUMMYFUNCTION("""COMPUTED_VALUE"""),"MA10186")</f>
        <v>MA10186</v>
      </c>
      <c r="D559" s="19" t="str">
        <f>IFERROR(__xludf.DUMMYFUNCTION("""COMPUTED_VALUE"""),"Peuño")</f>
        <v>Peuño</v>
      </c>
      <c r="E559" s="19" t="str">
        <f>IFERROR(__xludf.DUMMYFUNCTION("""COMPUTED_VALUE"""),"SITIO RFI")</f>
        <v>SITIO RFI</v>
      </c>
      <c r="F559" s="19" t="str">
        <f>IFERROR(__xludf.DUMMYFUNCTION("""COMPUTED_VALUE"""),"RFI")</f>
        <v>RFI</v>
      </c>
      <c r="G559" s="19" t="str">
        <f>IFERROR(__xludf.DUMMYFUNCTION("""COMPUTED_VALUE"""),"CV60")</f>
        <v>CV60</v>
      </c>
      <c r="H559" s="19" t="str">
        <f>IFERROR(__xludf.DUMMYFUNCTION("""COMPUTED_VALUE"""),"DEPROMET")</f>
        <v>DEPROMET</v>
      </c>
      <c r="I559" s="19" t="str">
        <f>IFERROR(__xludf.DUMMYFUNCTION("""COMPUTED_VALUE"""),"Entregada")</f>
        <v>Entregada</v>
      </c>
      <c r="J559" s="20">
        <f>IFERROR(__xludf.DUMMYFUNCTION("""COMPUTED_VALUE"""),44708.0)</f>
        <v>44708</v>
      </c>
      <c r="K559" s="19" t="str">
        <f>IFERROR(__xludf.DUMMYFUNCTION("""COMPUTED_VALUE"""),"Entregada")</f>
        <v>Entregada</v>
      </c>
      <c r="L559" s="20">
        <f>IFERROR(__xludf.DUMMYFUNCTION("""COMPUTED_VALUE"""),44764.0)</f>
        <v>44764</v>
      </c>
      <c r="M559" s="19" t="str">
        <f>IFERROR(__xludf.DUMMYFUNCTION("""COMPUTED_VALUE"""),"PCM")</f>
        <v>PCM</v>
      </c>
      <c r="N559" s="19" t="str">
        <f>IFERROR(__xludf.DUMMYFUNCTION("""COMPUTED_VALUE"""),"PRIORIDAD 1 Q3 2023 OCTUBRE")</f>
        <v>PRIORIDAD 1 Q3 2023 OCTUBRE</v>
      </c>
    </row>
    <row r="560" ht="15.75" customHeight="1">
      <c r="A560" s="19" t="str">
        <f>IFERROR(__xludf.DUMMYFUNCTION("""COMPUTED_VALUE"""),"AB_10187")</f>
        <v>AB_10187</v>
      </c>
      <c r="B560" s="19" t="str">
        <f>IFERROR(__xludf.DUMMYFUNCTION("""COMPUTED_VALUE"""),"AB_10187_A")</f>
        <v>AB_10187_A</v>
      </c>
      <c r="C560" s="19" t="str">
        <f>IFERROR(__xludf.DUMMYFUNCTION("""COMPUTED_VALUE"""),"MA10187")</f>
        <v>MA10187</v>
      </c>
      <c r="D560" s="19" t="str">
        <f>IFERROR(__xludf.DUMMYFUNCTION("""COMPUTED_VALUE"""),"Pahuil")</f>
        <v>Pahuil</v>
      </c>
      <c r="E560" s="19" t="str">
        <f>IFERROR(__xludf.DUMMYFUNCTION("""COMPUTED_VALUE"""),"SITIO RFI")</f>
        <v>SITIO RFI</v>
      </c>
      <c r="F560" s="19" t="str">
        <f>IFERROR(__xludf.DUMMYFUNCTION("""COMPUTED_VALUE"""),"RFI")</f>
        <v>RFI</v>
      </c>
      <c r="G560" s="19" t="str">
        <f>IFERROR(__xludf.DUMMYFUNCTION("""COMPUTED_VALUE"""),"AS36")</f>
        <v>AS36</v>
      </c>
      <c r="H560" s="19" t="str">
        <f>IFERROR(__xludf.DUMMYFUNCTION("""COMPUTED_VALUE"""),"METALING")</f>
        <v>METALING</v>
      </c>
      <c r="I560" s="19" t="str">
        <f>IFERROR(__xludf.DUMMYFUNCTION("""COMPUTED_VALUE"""),"Entregada")</f>
        <v>Entregada</v>
      </c>
      <c r="J560" s="20">
        <f>IFERROR(__xludf.DUMMYFUNCTION("""COMPUTED_VALUE"""),44680.0)</f>
        <v>44680</v>
      </c>
      <c r="K560" s="19" t="str">
        <f>IFERROR(__xludf.DUMMYFUNCTION("""COMPUTED_VALUE"""),"Entregada")</f>
        <v>Entregada</v>
      </c>
      <c r="L560" s="20">
        <f>IFERROR(__xludf.DUMMYFUNCTION("""COMPUTED_VALUE"""),44708.0)</f>
        <v>44708</v>
      </c>
      <c r="M560" s="19" t="str">
        <f>IFERROR(__xludf.DUMMYFUNCTION("""COMPUTED_VALUE"""),"PCM")</f>
        <v>PCM</v>
      </c>
      <c r="N560" s="19" t="str">
        <f>IFERROR(__xludf.DUMMYFUNCTION("""COMPUTED_VALUE"""),"PRIORIDAD 1 Q3 2023 OCTUBRE")</f>
        <v>PRIORIDAD 1 Q3 2023 OCTUBRE</v>
      </c>
    </row>
    <row r="561" ht="15.75" customHeight="1">
      <c r="A561" s="19" t="str">
        <f>IFERROR(__xludf.DUMMYFUNCTION("""COMPUTED_VALUE"""),"AB_10227")</f>
        <v>AB_10227</v>
      </c>
      <c r="B561" s="19" t="str">
        <f>IFERROR(__xludf.DUMMYFUNCTION("""COMPUTED_VALUE"""),"AB_10227_A")</f>
        <v>AB_10227_A</v>
      </c>
      <c r="C561" s="19" t="str">
        <f>IFERROR(__xludf.DUMMYFUNCTION("""COMPUTED_VALUE"""),"MA10227")</f>
        <v>MA10227</v>
      </c>
      <c r="D561" s="22" t="str">
        <f>IFERROR(__xludf.DUMMYFUNCTION("""COMPUTED_VALUE"""),"Peralillo Hualañe")</f>
        <v>Peralillo Hualañe</v>
      </c>
      <c r="E561" s="19" t="str">
        <f>IFERROR(__xludf.DUMMYFUNCTION("""COMPUTED_VALUE"""),"SITIO RFI")</f>
        <v>SITIO RFI</v>
      </c>
      <c r="F561" s="19" t="str">
        <f>IFERROR(__xludf.DUMMYFUNCTION("""COMPUTED_VALUE"""),"RFI")</f>
        <v>RFI</v>
      </c>
      <c r="G561" s="19" t="str">
        <f>IFERROR(__xludf.DUMMYFUNCTION("""COMPUTED_VALUE"""),"AS30")</f>
        <v>AS30</v>
      </c>
      <c r="H561" s="19" t="str">
        <f>IFERROR(__xludf.DUMMYFUNCTION("""COMPUTED_VALUE"""),"MER")</f>
        <v>MER</v>
      </c>
      <c r="I561" s="19" t="str">
        <f>IFERROR(__xludf.DUMMYFUNCTION("""COMPUTED_VALUE"""),"Entregada")</f>
        <v>Entregada</v>
      </c>
      <c r="J561" s="20">
        <f>IFERROR(__xludf.DUMMYFUNCTION("""COMPUTED_VALUE"""),44693.0)</f>
        <v>44693</v>
      </c>
      <c r="K561" s="19" t="str">
        <f>IFERROR(__xludf.DUMMYFUNCTION("""COMPUTED_VALUE"""),"Entregada")</f>
        <v>Entregada</v>
      </c>
      <c r="L561" s="20">
        <f>IFERROR(__xludf.DUMMYFUNCTION("""COMPUTED_VALUE"""),44736.0)</f>
        <v>44736</v>
      </c>
      <c r="M561" s="19" t="str">
        <f>IFERROR(__xludf.DUMMYFUNCTION("""COMPUTED_VALUE"""),"PCM")</f>
        <v>PCM</v>
      </c>
      <c r="N561" s="19" t="str">
        <f>IFERROR(__xludf.DUMMYFUNCTION("""COMPUTED_VALUE"""),"PRIORIDAD 1 Q3 2023 OCTUBRE")</f>
        <v>PRIORIDAD 1 Q3 2023 OCTUBRE</v>
      </c>
    </row>
    <row r="562" ht="15.75" customHeight="1">
      <c r="A562" s="19" t="str">
        <f>IFERROR(__xludf.DUMMYFUNCTION("""COMPUTED_VALUE"""),"AB_10328")</f>
        <v>AB_10328</v>
      </c>
      <c r="B562" s="19" t="str">
        <f>IFERROR(__xludf.DUMMYFUNCTION("""COMPUTED_VALUE"""),"AB_10328_A")</f>
        <v>AB_10328_A</v>
      </c>
      <c r="C562" s="19" t="str">
        <f>IFERROR(__xludf.DUMMYFUNCTION("""COMPUTED_VALUE"""),"MA10328")</f>
        <v>MA10328</v>
      </c>
      <c r="D562" s="19" t="str">
        <f>IFERROR(__xludf.DUMMYFUNCTION("""COMPUTED_VALUE"""),"Curepto Deuca")</f>
        <v>Curepto Deuca</v>
      </c>
      <c r="E562" s="19" t="str">
        <f>IFERROR(__xludf.DUMMYFUNCTION("""COMPUTED_VALUE"""),"SITIO RFI")</f>
        <v>SITIO RFI</v>
      </c>
      <c r="F562" s="19" t="str">
        <f>IFERROR(__xludf.DUMMYFUNCTION("""COMPUTED_VALUE"""),"RFI")</f>
        <v>RFI</v>
      </c>
      <c r="G562" s="19" t="str">
        <f>IFERROR(__xludf.DUMMYFUNCTION("""COMPUTED_VALUE"""),"CV42")</f>
        <v>CV42</v>
      </c>
      <c r="H562" s="19" t="str">
        <f>IFERROR(__xludf.DUMMYFUNCTION("""COMPUTED_VALUE"""),"MER")</f>
        <v>MER</v>
      </c>
      <c r="I562" s="19" t="str">
        <f>IFERROR(__xludf.DUMMYFUNCTION("""COMPUTED_VALUE"""),"Entregada")</f>
        <v>Entregada</v>
      </c>
      <c r="J562" s="20">
        <f>IFERROR(__xludf.DUMMYFUNCTION("""COMPUTED_VALUE"""),44673.0)</f>
        <v>44673</v>
      </c>
      <c r="K562" s="19" t="str">
        <f>IFERROR(__xludf.DUMMYFUNCTION("""COMPUTED_VALUE"""),"Entregada")</f>
        <v>Entregada</v>
      </c>
      <c r="L562" s="20">
        <f>IFERROR(__xludf.DUMMYFUNCTION("""COMPUTED_VALUE"""),44679.0)</f>
        <v>44679</v>
      </c>
      <c r="M562" s="19" t="str">
        <f>IFERROR(__xludf.DUMMYFUNCTION("""COMPUTED_VALUE"""),"PCM")</f>
        <v>PCM</v>
      </c>
      <c r="N562" s="19" t="str">
        <f>IFERROR(__xludf.DUMMYFUNCTION("""COMPUTED_VALUE"""),"PRIORIDAD 1 Q3 2023 OCTUBRE")</f>
        <v>PRIORIDAD 1 Q3 2023 OCTUBRE</v>
      </c>
    </row>
    <row r="563" ht="15.75" customHeight="1">
      <c r="A563" s="19" t="str">
        <f>IFERROR(__xludf.DUMMYFUNCTION("""COMPUTED_VALUE"""),"AB_10345")</f>
        <v>AB_10345</v>
      </c>
      <c r="B563" s="19" t="str">
        <f>IFERROR(__xludf.DUMMYFUNCTION("""COMPUTED_VALUE"""),"AB_10345_A")</f>
        <v>AB_10345_A</v>
      </c>
      <c r="C563" s="19" t="str">
        <f>IFERROR(__xludf.DUMMYFUNCTION("""COMPUTED_VALUE"""),"MA10345")</f>
        <v>MA10345</v>
      </c>
      <c r="D563" s="19" t="str">
        <f>IFERROR(__xludf.DUMMYFUNCTION("""COMPUTED_VALUE"""),"Cauquenes Aerodromo")</f>
        <v>Cauquenes Aerodromo</v>
      </c>
      <c r="E563" s="19" t="str">
        <f>IFERROR(__xludf.DUMMYFUNCTION("""COMPUTED_VALUE"""),"SITIO RFI")</f>
        <v>SITIO RFI</v>
      </c>
      <c r="F563" s="19" t="str">
        <f>IFERROR(__xludf.DUMMYFUNCTION("""COMPUTED_VALUE"""),"RFI")</f>
        <v>RFI</v>
      </c>
      <c r="G563" s="19" t="str">
        <f>IFERROR(__xludf.DUMMYFUNCTION("""COMPUTED_VALUE"""),"AS42")</f>
        <v>AS42</v>
      </c>
      <c r="H563" s="19" t="str">
        <f>IFERROR(__xludf.DUMMYFUNCTION("""COMPUTED_VALUE"""),"JTI")</f>
        <v>JTI</v>
      </c>
      <c r="I563" s="19" t="str">
        <f>IFERROR(__xludf.DUMMYFUNCTION("""COMPUTED_VALUE"""),"Entregada")</f>
        <v>Entregada</v>
      </c>
      <c r="J563" s="20">
        <f>IFERROR(__xludf.DUMMYFUNCTION("""COMPUTED_VALUE"""),44574.0)</f>
        <v>44574</v>
      </c>
      <c r="K563" s="19" t="str">
        <f>IFERROR(__xludf.DUMMYFUNCTION("""COMPUTED_VALUE"""),"Entregada")</f>
        <v>Entregada</v>
      </c>
      <c r="L563" s="20">
        <f>IFERROR(__xludf.DUMMYFUNCTION("""COMPUTED_VALUE"""),44571.0)</f>
        <v>44571</v>
      </c>
      <c r="M563" s="19" t="str">
        <f>IFERROR(__xludf.DUMMYFUNCTION("""COMPUTED_VALUE"""),"PCM")</f>
        <v>PCM</v>
      </c>
      <c r="N563" s="19" t="str">
        <f>IFERROR(__xludf.DUMMYFUNCTION("""COMPUTED_VALUE"""),"PRIORIDAD 1 Q3 2023 OCTUBRE")</f>
        <v>PRIORIDAD 1 Q3 2023 OCTUBRE</v>
      </c>
    </row>
    <row r="564" ht="15.75" customHeight="1">
      <c r="A564" s="19" t="str">
        <f>IFERROR(__xludf.DUMMYFUNCTION("""COMPUTED_VALUE"""),"AB_10347")</f>
        <v>AB_10347</v>
      </c>
      <c r="B564" s="19" t="str">
        <f>IFERROR(__xludf.DUMMYFUNCTION("""COMPUTED_VALUE"""),"AB_10347_B")</f>
        <v>AB_10347_B</v>
      </c>
      <c r="C564" s="19" t="str">
        <f>IFERROR(__xludf.DUMMYFUNCTION("""COMPUTED_VALUE"""),"MA10347")</f>
        <v>MA10347</v>
      </c>
      <c r="D564" s="19" t="str">
        <f>IFERROR(__xludf.DUMMYFUNCTION("""COMPUTED_VALUE"""),"La Palmilla Rauco")</f>
        <v>La Palmilla Rauco</v>
      </c>
      <c r="E564" s="19" t="str">
        <f>IFERROR(__xludf.DUMMYFUNCTION("""COMPUTED_VALUE"""),"SITIO RFI")</f>
        <v>SITIO RFI</v>
      </c>
      <c r="F564" s="19" t="str">
        <f>IFERROR(__xludf.DUMMYFUNCTION("""COMPUTED_VALUE"""),"RFI")</f>
        <v>RFI</v>
      </c>
      <c r="G564" s="19" t="str">
        <f>IFERROR(__xludf.DUMMYFUNCTION("""COMPUTED_VALUE"""),"CV42")</f>
        <v>CV42</v>
      </c>
      <c r="H564" s="19" t="str">
        <f>IFERROR(__xludf.DUMMYFUNCTION("""COMPUTED_VALUE"""),"DEPROMET")</f>
        <v>DEPROMET</v>
      </c>
      <c r="I564" s="19" t="str">
        <f>IFERROR(__xludf.DUMMYFUNCTION("""COMPUTED_VALUE"""),"Entregada")</f>
        <v>Entregada</v>
      </c>
      <c r="J564" s="20">
        <f>IFERROR(__xludf.DUMMYFUNCTION("""COMPUTED_VALUE"""),44764.0)</f>
        <v>44764</v>
      </c>
      <c r="K564" s="19" t="str">
        <f>IFERROR(__xludf.DUMMYFUNCTION("""COMPUTED_VALUE"""),"Entregada")</f>
        <v>Entregada</v>
      </c>
      <c r="L564" s="20">
        <f>IFERROR(__xludf.DUMMYFUNCTION("""COMPUTED_VALUE"""),44785.0)</f>
        <v>44785</v>
      </c>
      <c r="M564" s="19" t="str">
        <f>IFERROR(__xludf.DUMMYFUNCTION("""COMPUTED_VALUE"""),"PCM")</f>
        <v>PCM</v>
      </c>
      <c r="N564" s="19" t="str">
        <f>IFERROR(__xludf.DUMMYFUNCTION("""COMPUTED_VALUE"""),"PRIORIDAD 1 Q3 2023 OCTUBRE")</f>
        <v>PRIORIDAD 1 Q3 2023 OCTUBRE</v>
      </c>
    </row>
    <row r="565" ht="15.75" customHeight="1">
      <c r="A565" s="19" t="str">
        <f>IFERROR(__xludf.DUMMYFUNCTION("""COMPUTED_VALUE"""),"AB_10348")</f>
        <v>AB_10348</v>
      </c>
      <c r="B565" s="19" t="str">
        <f>IFERROR(__xludf.DUMMYFUNCTION("""COMPUTED_VALUE"""),"AB_10348_A")</f>
        <v>AB_10348_A</v>
      </c>
      <c r="C565" s="19" t="str">
        <f>IFERROR(__xludf.DUMMYFUNCTION("""COMPUTED_VALUE"""),"MA10348")</f>
        <v>MA10348</v>
      </c>
      <c r="D565" s="19" t="str">
        <f>IFERROR(__xludf.DUMMYFUNCTION("""COMPUTED_VALUE"""),"Ruta San Rafael - Santa Victoria")</f>
        <v>Ruta San Rafael - Santa Victoria</v>
      </c>
      <c r="E565" s="19" t="str">
        <f>IFERROR(__xludf.DUMMYFUNCTION("""COMPUTED_VALUE"""),"SITIO RFI")</f>
        <v>SITIO RFI</v>
      </c>
      <c r="F565" s="19" t="str">
        <f>IFERROR(__xludf.DUMMYFUNCTION("""COMPUTED_VALUE"""),"RFI")</f>
        <v>RFI</v>
      </c>
      <c r="G565" s="19" t="str">
        <f>IFERROR(__xludf.DUMMYFUNCTION("""COMPUTED_VALUE"""),"AS60")</f>
        <v>AS60</v>
      </c>
      <c r="H565" s="19" t="str">
        <f>IFERROR(__xludf.DUMMYFUNCTION("""COMPUTED_VALUE"""),"DEITEL")</f>
        <v>DEITEL</v>
      </c>
      <c r="I565" s="19" t="str">
        <f>IFERROR(__xludf.DUMMYFUNCTION("""COMPUTED_VALUE"""),"Entregada")</f>
        <v>Entregada</v>
      </c>
      <c r="J565" s="20">
        <f>IFERROR(__xludf.DUMMYFUNCTION("""COMPUTED_VALUE"""),44211.0)</f>
        <v>44211</v>
      </c>
      <c r="K565" s="19" t="str">
        <f>IFERROR(__xludf.DUMMYFUNCTION("""COMPUTED_VALUE"""),"Entregada")</f>
        <v>Entregada</v>
      </c>
      <c r="L565" s="20">
        <f>IFERROR(__xludf.DUMMYFUNCTION("""COMPUTED_VALUE"""),44211.0)</f>
        <v>44211</v>
      </c>
      <c r="M565" s="19" t="str">
        <f>IFERROR(__xludf.DUMMYFUNCTION("""COMPUTED_VALUE"""),"PCM")</f>
        <v>PCM</v>
      </c>
      <c r="N565" s="19" t="str">
        <f>IFERROR(__xludf.DUMMYFUNCTION("""COMPUTED_VALUE"""),"PRIORIDAD 1 Q3 2023 OCTUBRE")</f>
        <v>PRIORIDAD 1 Q3 2023 OCTUBRE</v>
      </c>
    </row>
    <row r="566" ht="15.75" customHeight="1">
      <c r="A566" s="19" t="str">
        <f>IFERROR(__xludf.DUMMYFUNCTION("""COMPUTED_VALUE"""),"AB_10614")</f>
        <v>AB_10614</v>
      </c>
      <c r="B566" s="19" t="str">
        <f>IFERROR(__xludf.DUMMYFUNCTION("""COMPUTED_VALUE"""),"AB_10614_E")</f>
        <v>AB_10614_E</v>
      </c>
      <c r="C566" s="19" t="str">
        <f>IFERROR(__xludf.DUMMYFUNCTION("""COMPUTED_VALUE"""),"MA10614")</f>
        <v>MA10614</v>
      </c>
      <c r="D566" s="19" t="str">
        <f>IFERROR(__xludf.DUMMYFUNCTION("""COMPUTED_VALUE"""),"RPT_El Manzano")</f>
        <v>RPT_El Manzano</v>
      </c>
      <c r="E566" s="19" t="str">
        <f>IFERROR(__xludf.DUMMYFUNCTION("""COMPUTED_VALUE"""),"DETENIDO COMPRA ESTRUCTURA")</f>
        <v>DETENIDO COMPRA ESTRUCTURA</v>
      </c>
      <c r="F566" s="19"/>
      <c r="G566" s="19" t="str">
        <f>IFERROR(__xludf.DUMMYFUNCTION("""COMPUTED_VALUE"""),"CV60")</f>
        <v>CV60</v>
      </c>
      <c r="H566" s="19" t="str">
        <f>IFERROR(__xludf.DUMMYFUNCTION("""COMPUTED_VALUE"""),"")</f>
        <v/>
      </c>
      <c r="I566" s="19" t="str">
        <f>IFERROR(__xludf.DUMMYFUNCTION("""COMPUTED_VALUE"""),"")</f>
        <v/>
      </c>
      <c r="J566" s="20" t="str">
        <f>IFERROR(__xludf.DUMMYFUNCTION("""COMPUTED_VALUE"""),"")</f>
        <v/>
      </c>
      <c r="K566" s="19" t="str">
        <f>IFERROR(__xludf.DUMMYFUNCTION("""COMPUTED_VALUE"""),"")</f>
        <v/>
      </c>
      <c r="L566" s="20" t="str">
        <f>IFERROR(__xludf.DUMMYFUNCTION("""COMPUTED_VALUE"""),"")</f>
        <v/>
      </c>
      <c r="M566" s="19" t="str">
        <f>IFERROR(__xludf.DUMMYFUNCTION("""COMPUTED_VALUE"""),"PCM_3")</f>
        <v>PCM_3</v>
      </c>
      <c r="N566" s="19" t="str">
        <f>IFERROR(__xludf.DUMMYFUNCTION("""COMPUTED_VALUE"""),"PRIORIDAD 3 Q1 2024 MARZO")</f>
        <v>PRIORIDAD 3 Q1 2024 MARZO</v>
      </c>
    </row>
    <row r="567" ht="15.75" customHeight="1">
      <c r="A567" s="19" t="str">
        <f>IFERROR(__xludf.DUMMYFUNCTION("""COMPUTED_VALUE"""),"AB_11317")</f>
        <v>AB_11317</v>
      </c>
      <c r="B567" s="19" t="str">
        <f>IFERROR(__xludf.DUMMYFUNCTION("""COMPUTED_VALUE"""),"AB_11317_B")</f>
        <v>AB_11317_B</v>
      </c>
      <c r="C567" s="19" t="str">
        <f>IFERROR(__xludf.DUMMYFUNCTION("""COMPUTED_VALUE"""),"MA11317")</f>
        <v>MA11317</v>
      </c>
      <c r="D567" s="19" t="str">
        <f>IFERROR(__xludf.DUMMYFUNCTION("""COMPUTED_VALUE"""),"Rivera del Mataquito")</f>
        <v>Rivera del Mataquito</v>
      </c>
      <c r="E567" s="19" t="str">
        <f>IFERROR(__xludf.DUMMYFUNCTION("""COMPUTED_VALUE"""),"SITIO RFI")</f>
        <v>SITIO RFI</v>
      </c>
      <c r="F567" s="19" t="str">
        <f>IFERROR(__xludf.DUMMYFUNCTION("""COMPUTED_VALUE"""),"RFI")</f>
        <v>RFI</v>
      </c>
      <c r="G567" s="19" t="str">
        <f>IFERROR(__xludf.DUMMYFUNCTION("""COMPUTED_VALUE"""),"CV60")</f>
        <v>CV60</v>
      </c>
      <c r="H567" s="19" t="str">
        <f>IFERROR(__xludf.DUMMYFUNCTION("""COMPUTED_VALUE"""),"DEITEL")</f>
        <v>DEITEL</v>
      </c>
      <c r="I567" s="19" t="str">
        <f>IFERROR(__xludf.DUMMYFUNCTION("""COMPUTED_VALUE"""),"Entregada")</f>
        <v>Entregada</v>
      </c>
      <c r="J567" s="20">
        <f>IFERROR(__xludf.DUMMYFUNCTION("""COMPUTED_VALUE"""),44750.0)</f>
        <v>44750</v>
      </c>
      <c r="K567" s="19" t="str">
        <f>IFERROR(__xludf.DUMMYFUNCTION("""COMPUTED_VALUE"""),"Entregada")</f>
        <v>Entregada</v>
      </c>
      <c r="L567" s="20">
        <f>IFERROR(__xludf.DUMMYFUNCTION("""COMPUTED_VALUE"""),44782.0)</f>
        <v>44782</v>
      </c>
      <c r="M567" s="19" t="str">
        <f>IFERROR(__xludf.DUMMYFUNCTION("""COMPUTED_VALUE"""),"PCM_2")</f>
        <v>PCM_2</v>
      </c>
      <c r="N567" s="19" t="str">
        <f>IFERROR(__xludf.DUMMYFUNCTION("""COMPUTED_VALUE"""),"PRIORIDAD 1 Q3 2023 OCTUBRE")</f>
        <v>PRIORIDAD 1 Q3 2023 OCTUBRE</v>
      </c>
    </row>
    <row r="568" ht="15.75" customHeight="1">
      <c r="A568" s="19" t="str">
        <f>IFERROR(__xludf.DUMMYFUNCTION("""COMPUTED_VALUE"""),"AB_11510")</f>
        <v>AB_11510</v>
      </c>
      <c r="B568" s="19" t="str">
        <f>IFERROR(__xludf.DUMMYFUNCTION("""COMPUTED_VALUE"""),"AB_11510_A")</f>
        <v>AB_11510_A</v>
      </c>
      <c r="C568" s="19" t="str">
        <f>IFERROR(__xludf.DUMMYFUNCTION("""COMPUTED_VALUE"""),"MA11510")</f>
        <v>MA11510</v>
      </c>
      <c r="D568" s="19" t="str">
        <f>IFERROR(__xludf.DUMMYFUNCTION("""COMPUTED_VALUE"""),"Pablo Correa Montt Pelarco")</f>
        <v>Pablo Correa Montt Pelarco</v>
      </c>
      <c r="E568" s="19" t="str">
        <f>IFERROR(__xludf.DUMMYFUNCTION("""COMPUTED_VALUE"""),"SITIO RFI")</f>
        <v>SITIO RFI</v>
      </c>
      <c r="F568" s="19" t="str">
        <f>IFERROR(__xludf.DUMMYFUNCTION("""COMPUTED_VALUE"""),"RFI")</f>
        <v>RFI</v>
      </c>
      <c r="G568" s="19" t="str">
        <f>IFERROR(__xludf.DUMMYFUNCTION("""COMPUTED_VALUE"""),"CV60")</f>
        <v>CV60</v>
      </c>
      <c r="H568" s="19" t="str">
        <f>IFERROR(__xludf.DUMMYFUNCTION("""COMPUTED_VALUE"""),"DEPROMET")</f>
        <v>DEPROMET</v>
      </c>
      <c r="I568" s="19" t="str">
        <f>IFERROR(__xludf.DUMMYFUNCTION("""COMPUTED_VALUE"""),"Entregada")</f>
        <v>Entregada</v>
      </c>
      <c r="J568" s="20">
        <f>IFERROR(__xludf.DUMMYFUNCTION("""COMPUTED_VALUE"""),44876.0)</f>
        <v>44876</v>
      </c>
      <c r="K568" s="19" t="str">
        <f>IFERROR(__xludf.DUMMYFUNCTION("""COMPUTED_VALUE"""),"Entregada")</f>
        <v>Entregada</v>
      </c>
      <c r="L568" s="20">
        <f>IFERROR(__xludf.DUMMYFUNCTION("""COMPUTED_VALUE"""),44897.0)</f>
        <v>44897</v>
      </c>
      <c r="M568" s="19" t="str">
        <f>IFERROR(__xludf.DUMMYFUNCTION("""COMPUTED_VALUE"""),"PCM_2")</f>
        <v>PCM_2</v>
      </c>
      <c r="N568" s="19" t="str">
        <f>IFERROR(__xludf.DUMMYFUNCTION("""COMPUTED_VALUE"""),"PRIORIDAD 1 Q3 2023 OCTUBRE")</f>
        <v>PRIORIDAD 1 Q3 2023 OCTUBRE</v>
      </c>
    </row>
    <row r="569" ht="15.75" customHeight="1">
      <c r="A569" s="19" t="str">
        <f>IFERROR(__xludf.DUMMYFUNCTION("""COMPUTED_VALUE"""),"AB_11741")</f>
        <v>AB_11741</v>
      </c>
      <c r="B569" s="19" t="str">
        <f>IFERROR(__xludf.DUMMYFUNCTION("""COMPUTED_VALUE"""),"AB_11741_A")</f>
        <v>AB_11741_A</v>
      </c>
      <c r="C569" s="19" t="str">
        <f>IFERROR(__xludf.DUMMYFUNCTION("""COMPUTED_VALUE"""),"MA11741")</f>
        <v>MA11741</v>
      </c>
      <c r="D569" s="19" t="str">
        <f>IFERROR(__xludf.DUMMYFUNCTION("""COMPUTED_VALUE"""),"RPT La Palma")</f>
        <v>RPT La Palma</v>
      </c>
      <c r="E569" s="19" t="str">
        <f>IFERROR(__xludf.DUMMYFUNCTION("""COMPUTED_VALUE"""),"SITIO PENDIENTE")</f>
        <v>SITIO PENDIENTE</v>
      </c>
      <c r="F569" s="19"/>
      <c r="G569" s="19" t="str">
        <f>IFERROR(__xludf.DUMMYFUNCTION("""COMPUTED_VALUE"""),"x")</f>
        <v>x</v>
      </c>
      <c r="H569" s="19" t="str">
        <f>IFERROR(__xludf.DUMMYFUNCTION("""COMPUTED_VALUE"""),"x")</f>
        <v>x</v>
      </c>
      <c r="I569" s="19" t="str">
        <f>IFERROR(__xludf.DUMMYFUNCTION("""COMPUTED_VALUE"""),"x")</f>
        <v>x</v>
      </c>
      <c r="J569" s="20" t="str">
        <f>IFERROR(__xludf.DUMMYFUNCTION("""COMPUTED_VALUE"""),"x")</f>
        <v>x</v>
      </c>
      <c r="K569" s="19" t="str">
        <f>IFERROR(__xludf.DUMMYFUNCTION("""COMPUTED_VALUE"""),"x")</f>
        <v>x</v>
      </c>
      <c r="L569" s="20" t="str">
        <f>IFERROR(__xludf.DUMMYFUNCTION("""COMPUTED_VALUE"""),"x")</f>
        <v>x</v>
      </c>
      <c r="M569" s="19" t="str">
        <f>IFERROR(__xludf.DUMMYFUNCTION("""COMPUTED_VALUE"""),"PP_3")</f>
        <v>PP_3</v>
      </c>
      <c r="N569" s="19" t="str">
        <f>IFERROR(__xludf.DUMMYFUNCTION("""COMPUTED_VALUE"""),"PRIORIDAD 3 Q1 2024 MARZO")</f>
        <v>PRIORIDAD 3 Q1 2024 MARZO</v>
      </c>
    </row>
    <row r="570" ht="15.75" customHeight="1">
      <c r="A570" s="19" t="str">
        <f>IFERROR(__xludf.DUMMYFUNCTION("""COMPUTED_VALUE"""),"AB_11742")</f>
        <v>AB_11742</v>
      </c>
      <c r="B570" s="19" t="str">
        <f>IFERROR(__xludf.DUMMYFUNCTION("""COMPUTED_VALUE"""),"AB_11742_A")</f>
        <v>AB_11742_A</v>
      </c>
      <c r="C570" s="19" t="str">
        <f>IFERROR(__xludf.DUMMYFUNCTION("""COMPUTED_VALUE"""),"MA11742")</f>
        <v>MA11742</v>
      </c>
      <c r="D570" s="19" t="str">
        <f>IFERROR(__xludf.DUMMYFUNCTION("""COMPUTED_VALUE"""),"RPT Núñez")</f>
        <v>RPT Núñez</v>
      </c>
      <c r="E570" s="19" t="str">
        <f>IFERROR(__xludf.DUMMYFUNCTION("""COMPUTED_VALUE"""),"SITIO PENDIENTE")</f>
        <v>SITIO PENDIENTE</v>
      </c>
      <c r="F570" s="19"/>
      <c r="G570" s="19" t="str">
        <f>IFERROR(__xludf.DUMMYFUNCTION("""COMPUTED_VALUE"""),"x")</f>
        <v>x</v>
      </c>
      <c r="H570" s="19" t="str">
        <f>IFERROR(__xludf.DUMMYFUNCTION("""COMPUTED_VALUE"""),"x")</f>
        <v>x</v>
      </c>
      <c r="I570" s="19" t="str">
        <f>IFERROR(__xludf.DUMMYFUNCTION("""COMPUTED_VALUE"""),"x")</f>
        <v>x</v>
      </c>
      <c r="J570" s="20" t="str">
        <f>IFERROR(__xludf.DUMMYFUNCTION("""COMPUTED_VALUE"""),"x")</f>
        <v>x</v>
      </c>
      <c r="K570" s="19" t="str">
        <f>IFERROR(__xludf.DUMMYFUNCTION("""COMPUTED_VALUE"""),"x")</f>
        <v>x</v>
      </c>
      <c r="L570" s="20" t="str">
        <f>IFERROR(__xludf.DUMMYFUNCTION("""COMPUTED_VALUE"""),"x")</f>
        <v>x</v>
      </c>
      <c r="M570" s="19" t="str">
        <f>IFERROR(__xludf.DUMMYFUNCTION("""COMPUTED_VALUE"""),"PP_3")</f>
        <v>PP_3</v>
      </c>
      <c r="N570" s="19" t="str">
        <f>IFERROR(__xludf.DUMMYFUNCTION("""COMPUTED_VALUE"""),"PRIORIDAD 3 Q1 2024 MARZO")</f>
        <v>PRIORIDAD 3 Q1 2024 MARZO</v>
      </c>
    </row>
    <row r="571" ht="15.75" customHeight="1">
      <c r="A571" s="19" t="str">
        <f>IFERROR(__xludf.DUMMYFUNCTION("""COMPUTED_VALUE"""),"AB_11743")</f>
        <v>AB_11743</v>
      </c>
      <c r="B571" s="19" t="str">
        <f>IFERROR(__xludf.DUMMYFUNCTION("""COMPUTED_VALUE"""),"AB_11743_A")</f>
        <v>AB_11743_A</v>
      </c>
      <c r="C571" s="19" t="str">
        <f>IFERROR(__xludf.DUMMYFUNCTION("""COMPUTED_VALUE"""),"MA11743")</f>
        <v>MA11743</v>
      </c>
      <c r="D571" s="19" t="str">
        <f>IFERROR(__xludf.DUMMYFUNCTION("""COMPUTED_VALUE"""),"RPT La Mina")</f>
        <v>RPT La Mina</v>
      </c>
      <c r="E571" s="19" t="str">
        <f>IFERROR(__xludf.DUMMYFUNCTION("""COMPUTED_VALUE"""),"SITIO PENDIENTE")</f>
        <v>SITIO PENDIENTE</v>
      </c>
      <c r="F571" s="19"/>
      <c r="G571" s="19" t="str">
        <f>IFERROR(__xludf.DUMMYFUNCTION("""COMPUTED_VALUE"""),"x")</f>
        <v>x</v>
      </c>
      <c r="H571" s="19" t="str">
        <f>IFERROR(__xludf.DUMMYFUNCTION("""COMPUTED_VALUE"""),"x")</f>
        <v>x</v>
      </c>
      <c r="I571" s="19" t="str">
        <f>IFERROR(__xludf.DUMMYFUNCTION("""COMPUTED_VALUE"""),"x")</f>
        <v>x</v>
      </c>
      <c r="J571" s="20" t="str">
        <f>IFERROR(__xludf.DUMMYFUNCTION("""COMPUTED_VALUE"""),"x")</f>
        <v>x</v>
      </c>
      <c r="K571" s="19" t="str">
        <f>IFERROR(__xludf.DUMMYFUNCTION("""COMPUTED_VALUE"""),"x")</f>
        <v>x</v>
      </c>
      <c r="L571" s="20" t="str">
        <f>IFERROR(__xludf.DUMMYFUNCTION("""COMPUTED_VALUE"""),"x")</f>
        <v>x</v>
      </c>
      <c r="M571" s="19" t="str">
        <f>IFERROR(__xludf.DUMMYFUNCTION("""COMPUTED_VALUE"""),"PP_3")</f>
        <v>PP_3</v>
      </c>
      <c r="N571" s="19" t="str">
        <f>IFERROR(__xludf.DUMMYFUNCTION("""COMPUTED_VALUE"""),"PRIORIDAD 3 Q1 2024 MARZO")</f>
        <v>PRIORIDAD 3 Q1 2024 MARZO</v>
      </c>
    </row>
    <row r="572" ht="15.75" customHeight="1">
      <c r="A572" s="19" t="str">
        <f>IFERROR(__xludf.DUMMYFUNCTION("""COMPUTED_VALUE"""),"AB_11744")</f>
        <v>AB_11744</v>
      </c>
      <c r="B572" s="19" t="str">
        <f>IFERROR(__xludf.DUMMYFUNCTION("""COMPUTED_VALUE"""),"AB_11744_A")</f>
        <v>AB_11744_A</v>
      </c>
      <c r="C572" s="19" t="str">
        <f>IFERROR(__xludf.DUMMYFUNCTION("""COMPUTED_VALUE"""),"MA11744")</f>
        <v>MA11744</v>
      </c>
      <c r="D572" s="19" t="str">
        <f>IFERROR(__xludf.DUMMYFUNCTION("""COMPUTED_VALUE"""),"RPT Cascada Invertida")</f>
        <v>RPT Cascada Invertida</v>
      </c>
      <c r="E572" s="19" t="str">
        <f>IFERROR(__xludf.DUMMYFUNCTION("""COMPUTED_VALUE"""),"SITIO PENDIENTE")</f>
        <v>SITIO PENDIENTE</v>
      </c>
      <c r="F572" s="19"/>
      <c r="G572" s="19" t="str">
        <f>IFERROR(__xludf.DUMMYFUNCTION("""COMPUTED_VALUE"""),"x")</f>
        <v>x</v>
      </c>
      <c r="H572" s="19" t="str">
        <f>IFERROR(__xludf.DUMMYFUNCTION("""COMPUTED_VALUE"""),"x")</f>
        <v>x</v>
      </c>
      <c r="I572" s="19" t="str">
        <f>IFERROR(__xludf.DUMMYFUNCTION("""COMPUTED_VALUE"""),"x")</f>
        <v>x</v>
      </c>
      <c r="J572" s="20" t="str">
        <f>IFERROR(__xludf.DUMMYFUNCTION("""COMPUTED_VALUE"""),"x")</f>
        <v>x</v>
      </c>
      <c r="K572" s="19" t="str">
        <f>IFERROR(__xludf.DUMMYFUNCTION("""COMPUTED_VALUE"""),"x")</f>
        <v>x</v>
      </c>
      <c r="L572" s="20" t="str">
        <f>IFERROR(__xludf.DUMMYFUNCTION("""COMPUTED_VALUE"""),"x")</f>
        <v>x</v>
      </c>
      <c r="M572" s="19" t="str">
        <f>IFERROR(__xludf.DUMMYFUNCTION("""COMPUTED_VALUE"""),"PP_3")</f>
        <v>PP_3</v>
      </c>
      <c r="N572" s="19" t="str">
        <f>IFERROR(__xludf.DUMMYFUNCTION("""COMPUTED_VALUE"""),"PRIORIDAD 3 Q1 2024 MARZO")</f>
        <v>PRIORIDAD 3 Q1 2024 MARZO</v>
      </c>
    </row>
    <row r="573" ht="15.75" customHeight="1">
      <c r="A573" s="19" t="str">
        <f>IFERROR(__xludf.DUMMYFUNCTION("""COMPUTED_VALUE"""),"AB_1392")</f>
        <v>AB_1392</v>
      </c>
      <c r="B573" s="19" t="str">
        <f>IFERROR(__xludf.DUMMYFUNCTION("""COMPUTED_VALUE"""),"AB_1392_E")</f>
        <v>AB_1392_E</v>
      </c>
      <c r="C573" s="19" t="str">
        <f>IFERROR(__xludf.DUMMYFUNCTION("""COMPUTED_VALUE"""),"MA1392")</f>
        <v>MA1392</v>
      </c>
      <c r="D573" s="19" t="str">
        <f>IFERROR(__xludf.DUMMYFUNCTION("""COMPUTED_VALUE"""),"Viña Fresia Villa Alegre")</f>
        <v>Viña Fresia Villa Alegre</v>
      </c>
      <c r="E573" s="19" t="str">
        <f>IFERROR(__xludf.DUMMYFUNCTION("""COMPUTED_VALUE"""),"SITIO RFI")</f>
        <v>SITIO RFI</v>
      </c>
      <c r="F573" s="19" t="str">
        <f>IFERROR(__xludf.DUMMYFUNCTION("""COMPUTED_VALUE"""),"RFI")</f>
        <v>RFI</v>
      </c>
      <c r="G573" s="19" t="str">
        <f>IFERROR(__xludf.DUMMYFUNCTION("""COMPUTED_VALUE"""),"MP36")</f>
        <v>MP36</v>
      </c>
      <c r="H573" s="19" t="str">
        <f>IFERROR(__xludf.DUMMYFUNCTION("""COMPUTED_VALUE"""),"MER")</f>
        <v>MER</v>
      </c>
      <c r="I573" s="19" t="str">
        <f>IFERROR(__xludf.DUMMYFUNCTION("""COMPUTED_VALUE"""),"Entregada")</f>
        <v>Entregada</v>
      </c>
      <c r="J573" s="20">
        <f>IFERROR(__xludf.DUMMYFUNCTION("""COMPUTED_VALUE"""),44697.0)</f>
        <v>44697</v>
      </c>
      <c r="K573" s="19" t="str">
        <f>IFERROR(__xludf.DUMMYFUNCTION("""COMPUTED_VALUE"""),"Entregada")</f>
        <v>Entregada</v>
      </c>
      <c r="L573" s="20">
        <f>IFERROR(__xludf.DUMMYFUNCTION("""COMPUTED_VALUE"""),44694.0)</f>
        <v>44694</v>
      </c>
      <c r="M573" s="19" t="str">
        <f>IFERROR(__xludf.DUMMYFUNCTION("""COMPUTED_VALUE"""),"PCM")</f>
        <v>PCM</v>
      </c>
      <c r="N573" s="19" t="str">
        <f>IFERROR(__xludf.DUMMYFUNCTION("""COMPUTED_VALUE"""),"PRIORIDAD 1 Q3 2023 OCTUBRE")</f>
        <v>PRIORIDAD 1 Q3 2023 OCTUBRE</v>
      </c>
    </row>
    <row r="574" ht="15.75" customHeight="1">
      <c r="A574" s="19" t="str">
        <f>IFERROR(__xludf.DUMMYFUNCTION("""COMPUTED_VALUE"""),"AB_1684")</f>
        <v>AB_1684</v>
      </c>
      <c r="B574" s="19" t="str">
        <f>IFERROR(__xludf.DUMMYFUNCTION("""COMPUTED_VALUE"""),"AB_1684_E")</f>
        <v>AB_1684_E</v>
      </c>
      <c r="C574" s="19" t="str">
        <f>IFERROR(__xludf.DUMMYFUNCTION("""COMPUTED_VALUE"""),"MA1684")</f>
        <v>MA1684</v>
      </c>
      <c r="D574" s="19" t="str">
        <f>IFERROR(__xludf.DUMMYFUNCTION("""COMPUTED_VALUE"""),"Chovellen Poniente")</f>
        <v>Chovellen Poniente</v>
      </c>
      <c r="E574" s="19" t="str">
        <f>IFERROR(__xludf.DUMMYFUNCTION("""COMPUTED_VALUE"""),"SITIO RFI")</f>
        <v>SITIO RFI</v>
      </c>
      <c r="F574" s="19" t="str">
        <f>IFERROR(__xludf.DUMMYFUNCTION("""COMPUTED_VALUE"""),"RFI")</f>
        <v>RFI</v>
      </c>
      <c r="G574" s="19" t="str">
        <f>IFERROR(__xludf.DUMMYFUNCTION("""COMPUTED_VALUE"""),"CV36")</f>
        <v>CV36</v>
      </c>
      <c r="H574" s="19" t="str">
        <f>IFERROR(__xludf.DUMMYFUNCTION("""COMPUTED_VALUE"""),"AJ")</f>
        <v>AJ</v>
      </c>
      <c r="I574" s="19" t="str">
        <f>IFERROR(__xludf.DUMMYFUNCTION("""COMPUTED_VALUE"""),"Entregada")</f>
        <v>Entregada</v>
      </c>
      <c r="J574" s="20">
        <f>IFERROR(__xludf.DUMMYFUNCTION("""COMPUTED_VALUE"""),44697.0)</f>
        <v>44697</v>
      </c>
      <c r="K574" s="19" t="str">
        <f>IFERROR(__xludf.DUMMYFUNCTION("""COMPUTED_VALUE"""),"Entregada")</f>
        <v>Entregada</v>
      </c>
      <c r="L574" s="20">
        <f>IFERROR(__xludf.DUMMYFUNCTION("""COMPUTED_VALUE"""),44827.0)</f>
        <v>44827</v>
      </c>
      <c r="M574" s="19" t="str">
        <f>IFERROR(__xludf.DUMMYFUNCTION("""COMPUTED_VALUE"""),"PCM")</f>
        <v>PCM</v>
      </c>
      <c r="N574" s="19" t="str">
        <f>IFERROR(__xludf.DUMMYFUNCTION("""COMPUTED_VALUE"""),"PRIORIDAD 1 Q3 2023 OCTUBRE")</f>
        <v>PRIORIDAD 1 Q3 2023 OCTUBRE</v>
      </c>
    </row>
    <row r="575" ht="15.75" customHeight="1">
      <c r="A575" s="19" t="str">
        <f>IFERROR(__xludf.DUMMYFUNCTION("""COMPUTED_VALUE"""),"AB_1694")</f>
        <v>AB_1694</v>
      </c>
      <c r="B575" s="19" t="str">
        <f>IFERROR(__xludf.DUMMYFUNCTION("""COMPUTED_VALUE"""),"AB_1694_B")</f>
        <v>AB_1694_B</v>
      </c>
      <c r="C575" s="19" t="str">
        <f>IFERROR(__xludf.DUMMYFUNCTION("""COMPUTED_VALUE"""),"MA1694")</f>
        <v>MA1694</v>
      </c>
      <c r="D575" s="19" t="str">
        <f>IFERROR(__xludf.DUMMYFUNCTION("""COMPUTED_VALUE"""),"Ruta Pelarco - Panguilemo")</f>
        <v>Ruta Pelarco - Panguilemo</v>
      </c>
      <c r="E575" s="19" t="str">
        <f>IFERROR(__xludf.DUMMYFUNCTION("""COMPUTED_VALUE"""),"SITIO RFI")</f>
        <v>SITIO RFI</v>
      </c>
      <c r="F575" s="19" t="str">
        <f>IFERROR(__xludf.DUMMYFUNCTION("""COMPUTED_VALUE"""),"RFI")</f>
        <v>RFI</v>
      </c>
      <c r="G575" s="19" t="str">
        <f>IFERROR(__xludf.DUMMYFUNCTION("""COMPUTED_VALUE"""),"AS42")</f>
        <v>AS42</v>
      </c>
      <c r="H575" s="19" t="str">
        <f>IFERROR(__xludf.DUMMYFUNCTION("""COMPUTED_VALUE"""),"MER")</f>
        <v>MER</v>
      </c>
      <c r="I575" s="19" t="str">
        <f>IFERROR(__xludf.DUMMYFUNCTION("""COMPUTED_VALUE"""),"Entregada")</f>
        <v>Entregada</v>
      </c>
      <c r="J575" s="20">
        <f>IFERROR(__xludf.DUMMYFUNCTION("""COMPUTED_VALUE"""),44673.0)</f>
        <v>44673</v>
      </c>
      <c r="K575" s="19" t="str">
        <f>IFERROR(__xludf.DUMMYFUNCTION("""COMPUTED_VALUE"""),"Entregada")</f>
        <v>Entregada</v>
      </c>
      <c r="L575" s="20">
        <f>IFERROR(__xludf.DUMMYFUNCTION("""COMPUTED_VALUE"""),44742.0)</f>
        <v>44742</v>
      </c>
      <c r="M575" s="19" t="str">
        <f>IFERROR(__xludf.DUMMYFUNCTION("""COMPUTED_VALUE"""),"PCM")</f>
        <v>PCM</v>
      </c>
      <c r="N575" s="19" t="str">
        <f>IFERROR(__xludf.DUMMYFUNCTION("""COMPUTED_VALUE"""),"PRIORIDAD 1 Q3 2023 OCTUBRE")</f>
        <v>PRIORIDAD 1 Q3 2023 OCTUBRE</v>
      </c>
    </row>
    <row r="576" ht="15.75" customHeight="1">
      <c r="A576" s="19" t="str">
        <f>IFERROR(__xludf.DUMMYFUNCTION("""COMPUTED_VALUE"""),"AB_4012")</f>
        <v>AB_4012</v>
      </c>
      <c r="B576" s="19" t="str">
        <f>IFERROR(__xludf.DUMMYFUNCTION("""COMPUTED_VALUE"""),"AB_4012_B")</f>
        <v>AB_4012_B</v>
      </c>
      <c r="C576" s="19" t="str">
        <f>IFERROR(__xludf.DUMMYFUNCTION("""COMPUTED_VALUE"""),"MA4012")</f>
        <v>MA4012</v>
      </c>
      <c r="D576" s="19" t="str">
        <f>IFERROR(__xludf.DUMMYFUNCTION("""COMPUTED_VALUE"""),"Camino Huepi")</f>
        <v>Camino Huepi</v>
      </c>
      <c r="E576" s="19" t="str">
        <f>IFERROR(__xludf.DUMMYFUNCTION("""COMPUTED_VALUE"""),"SITIO RFI")</f>
        <v>SITIO RFI</v>
      </c>
      <c r="F576" s="19" t="str">
        <f>IFERROR(__xludf.DUMMYFUNCTION("""COMPUTED_VALUE"""),"RFI")</f>
        <v>RFI</v>
      </c>
      <c r="G576" s="19" t="str">
        <f>IFERROR(__xludf.DUMMYFUNCTION("""COMPUTED_VALUE"""),"AS60")</f>
        <v>AS60</v>
      </c>
      <c r="H576" s="19" t="str">
        <f>IFERROR(__xludf.DUMMYFUNCTION("""COMPUTED_VALUE"""),"DEITEL")</f>
        <v>DEITEL</v>
      </c>
      <c r="I576" s="19" t="str">
        <f>IFERROR(__xludf.DUMMYFUNCTION("""COMPUTED_VALUE"""),"Entregada")</f>
        <v>Entregada</v>
      </c>
      <c r="J576" s="20">
        <f>IFERROR(__xludf.DUMMYFUNCTION("""COMPUTED_VALUE"""),44720.0)</f>
        <v>44720</v>
      </c>
      <c r="K576" s="19" t="str">
        <f>IFERROR(__xludf.DUMMYFUNCTION("""COMPUTED_VALUE"""),"Entregada")</f>
        <v>Entregada</v>
      </c>
      <c r="L576" s="20">
        <f>IFERROR(__xludf.DUMMYFUNCTION("""COMPUTED_VALUE"""),44767.0)</f>
        <v>44767</v>
      </c>
      <c r="M576" s="19" t="str">
        <f>IFERROR(__xludf.DUMMYFUNCTION("""COMPUTED_VALUE"""),"PCM")</f>
        <v>PCM</v>
      </c>
      <c r="N576" s="19" t="str">
        <f>IFERROR(__xludf.DUMMYFUNCTION("""COMPUTED_VALUE"""),"PRIORIDAD 1 Q3 2023 OCTUBRE")</f>
        <v>PRIORIDAD 1 Q3 2023 OCTUBRE</v>
      </c>
    </row>
    <row r="577" ht="15.75" customHeight="1">
      <c r="A577" s="19" t="str">
        <f>IFERROR(__xludf.DUMMYFUNCTION("""COMPUTED_VALUE"""),"AB_4366")</f>
        <v>AB_4366</v>
      </c>
      <c r="B577" s="19" t="str">
        <f>IFERROR(__xludf.DUMMYFUNCTION("""COMPUTED_VALUE"""),"AB_4366_B")</f>
        <v>AB_4366_B</v>
      </c>
      <c r="C577" s="19" t="str">
        <f>IFERROR(__xludf.DUMMYFUNCTION("""COMPUTED_VALUE"""),"MA4366")</f>
        <v>MA4366</v>
      </c>
      <c r="D577" s="19" t="str">
        <f>IFERROR(__xludf.DUMMYFUNCTION("""COMPUTED_VALUE"""),"Quiñipeumo")</f>
        <v>Quiñipeumo</v>
      </c>
      <c r="E577" s="19" t="str">
        <f>IFERROR(__xludf.DUMMYFUNCTION("""COMPUTED_VALUE"""),"SITIO RFI")</f>
        <v>SITIO RFI</v>
      </c>
      <c r="F577" s="19" t="str">
        <f>IFERROR(__xludf.DUMMYFUNCTION("""COMPUTED_VALUE"""),"RFI")</f>
        <v>RFI</v>
      </c>
      <c r="G577" s="19" t="str">
        <f>IFERROR(__xludf.DUMMYFUNCTION("""COMPUTED_VALUE"""),"AS60")</f>
        <v>AS60</v>
      </c>
      <c r="H577" s="19" t="str">
        <f>IFERROR(__xludf.DUMMYFUNCTION("""COMPUTED_VALUE"""),"MER")</f>
        <v>MER</v>
      </c>
      <c r="I577" s="19" t="str">
        <f>IFERROR(__xludf.DUMMYFUNCTION("""COMPUTED_VALUE"""),"Entregada")</f>
        <v>Entregada</v>
      </c>
      <c r="J577" s="20">
        <f>IFERROR(__xludf.DUMMYFUNCTION("""COMPUTED_VALUE"""),44697.0)</f>
        <v>44697</v>
      </c>
      <c r="K577" s="19" t="str">
        <f>IFERROR(__xludf.DUMMYFUNCTION("""COMPUTED_VALUE"""),"Entregada")</f>
        <v>Entregada</v>
      </c>
      <c r="L577" s="20">
        <f>IFERROR(__xludf.DUMMYFUNCTION("""COMPUTED_VALUE"""),44715.0)</f>
        <v>44715</v>
      </c>
      <c r="M577" s="19" t="str">
        <f>IFERROR(__xludf.DUMMYFUNCTION("""COMPUTED_VALUE"""),"PCM")</f>
        <v>PCM</v>
      </c>
      <c r="N577" s="19" t="str">
        <f>IFERROR(__xludf.DUMMYFUNCTION("""COMPUTED_VALUE"""),"PRIORIDAD 1 Q3 2023 OCTUBRE")</f>
        <v>PRIORIDAD 1 Q3 2023 OCTUBRE</v>
      </c>
    </row>
    <row r="578" ht="15.75" customHeight="1">
      <c r="A578" s="19" t="str">
        <f>IFERROR(__xludf.DUMMYFUNCTION("""COMPUTED_VALUE"""),"AB_4389")</f>
        <v>AB_4389</v>
      </c>
      <c r="B578" s="19" t="str">
        <f>IFERROR(__xludf.DUMMYFUNCTION("""COMPUTED_VALUE"""),"AB_4389_E")</f>
        <v>AB_4389_E</v>
      </c>
      <c r="C578" s="19" t="str">
        <f>IFERROR(__xludf.DUMMYFUNCTION("""COMPUTED_VALUE"""),"MA4389")</f>
        <v>MA4389</v>
      </c>
      <c r="D578" s="19" t="str">
        <f>IFERROR(__xludf.DUMMYFUNCTION("""COMPUTED_VALUE"""),"Boyeruca")</f>
        <v>Boyeruca</v>
      </c>
      <c r="E578" s="19" t="str">
        <f>IFERROR(__xludf.DUMMYFUNCTION("""COMPUTED_VALUE"""),"SITIO RFI")</f>
        <v>SITIO RFI</v>
      </c>
      <c r="F578" s="19" t="str">
        <f>IFERROR(__xludf.DUMMYFUNCTION("""COMPUTED_VALUE"""),"RFI")</f>
        <v>RFI</v>
      </c>
      <c r="G578" s="19" t="str">
        <f>IFERROR(__xludf.DUMMYFUNCTION("""COMPUTED_VALUE"""),"CV60")</f>
        <v>CV60</v>
      </c>
      <c r="H578" s="19" t="str">
        <f>IFERROR(__xludf.DUMMYFUNCTION("""COMPUTED_VALUE"""),"DEPROMET")</f>
        <v>DEPROMET</v>
      </c>
      <c r="I578" s="19" t="str">
        <f>IFERROR(__xludf.DUMMYFUNCTION("""COMPUTED_VALUE"""),"Entregada")</f>
        <v>Entregada</v>
      </c>
      <c r="J578" s="20">
        <f>IFERROR(__xludf.DUMMYFUNCTION("""COMPUTED_VALUE"""),44886.0)</f>
        <v>44886</v>
      </c>
      <c r="K578" s="19" t="str">
        <f>IFERROR(__xludf.DUMMYFUNCTION("""COMPUTED_VALUE"""),"Entregada")</f>
        <v>Entregada</v>
      </c>
      <c r="L578" s="20">
        <f>IFERROR(__xludf.DUMMYFUNCTION("""COMPUTED_VALUE"""),44911.0)</f>
        <v>44911</v>
      </c>
      <c r="M578" s="19" t="str">
        <f>IFERROR(__xludf.DUMMYFUNCTION("""COMPUTED_VALUE"""),"LLOO")</f>
        <v>LLOO</v>
      </c>
      <c r="N578" s="19" t="str">
        <f>IFERROR(__xludf.DUMMYFUNCTION("""COMPUTED_VALUE"""),"PRIORIDAD 1 Q3 2023 OCTUBRE")</f>
        <v>PRIORIDAD 1 Q3 2023 OCTUBRE</v>
      </c>
    </row>
    <row r="579" ht="15.75" customHeight="1">
      <c r="A579" s="19" t="str">
        <f>IFERROR(__xludf.DUMMYFUNCTION("""COMPUTED_VALUE"""),"AB_4812")</f>
        <v>AB_4812</v>
      </c>
      <c r="B579" s="19" t="str">
        <f>IFERROR(__xludf.DUMMYFUNCTION("""COMPUTED_VALUE"""),"AB_4812_A")</f>
        <v>AB_4812_A</v>
      </c>
      <c r="C579" s="19" t="str">
        <f>IFERROR(__xludf.DUMMYFUNCTION("""COMPUTED_VALUE"""),"MA4812")</f>
        <v>MA4812</v>
      </c>
      <c r="D579" s="19" t="str">
        <f>IFERROR(__xludf.DUMMYFUNCTION("""COMPUTED_VALUE"""),"Licanten Centro")</f>
        <v>Licanten Centro</v>
      </c>
      <c r="E579" s="19" t="str">
        <f>IFERROR(__xludf.DUMMYFUNCTION("""COMPUTED_VALUE"""),"SITIO RFI")</f>
        <v>SITIO RFI</v>
      </c>
      <c r="F579" s="19" t="str">
        <f>IFERROR(__xludf.DUMMYFUNCTION("""COMPUTED_VALUE"""),"RFI")</f>
        <v>RFI</v>
      </c>
      <c r="G579" s="19" t="str">
        <f>IFERROR(__xludf.DUMMYFUNCTION("""COMPUTED_VALUE"""),"AS42")</f>
        <v>AS42</v>
      </c>
      <c r="H579" s="19" t="str">
        <f>IFERROR(__xludf.DUMMYFUNCTION("""COMPUTED_VALUE"""),"AJ")</f>
        <v>AJ</v>
      </c>
      <c r="I579" s="19" t="str">
        <f>IFERROR(__xludf.DUMMYFUNCTION("""COMPUTED_VALUE"""),"Entregada")</f>
        <v>Entregada</v>
      </c>
      <c r="J579" s="20">
        <f>IFERROR(__xludf.DUMMYFUNCTION("""COMPUTED_VALUE"""),44627.0)</f>
        <v>44627</v>
      </c>
      <c r="K579" s="19" t="str">
        <f>IFERROR(__xludf.DUMMYFUNCTION("""COMPUTED_VALUE"""),"Entregada")</f>
        <v>Entregada</v>
      </c>
      <c r="L579" s="20">
        <f>IFERROR(__xludf.DUMMYFUNCTION("""COMPUTED_VALUE"""),44671.0)</f>
        <v>44671</v>
      </c>
      <c r="M579" s="19" t="str">
        <f>IFERROR(__xludf.DUMMYFUNCTION("""COMPUTED_VALUE"""),"PCM")</f>
        <v>PCM</v>
      </c>
      <c r="N579" s="19" t="str">
        <f>IFERROR(__xludf.DUMMYFUNCTION("""COMPUTED_VALUE"""),"PRIORIDAD 1 Q3 2023 OCTUBRE")</f>
        <v>PRIORIDAD 1 Q3 2023 OCTUBRE</v>
      </c>
    </row>
    <row r="580" ht="15.75" customHeight="1">
      <c r="A580" s="19" t="str">
        <f>IFERROR(__xludf.DUMMYFUNCTION("""COMPUTED_VALUE"""),"AB_5807")</f>
        <v>AB_5807</v>
      </c>
      <c r="B580" s="19" t="str">
        <f>IFERROR(__xludf.DUMMYFUNCTION("""COMPUTED_VALUE"""),"AB_5807_B")</f>
        <v>AB_5807_B</v>
      </c>
      <c r="C580" s="19" t="str">
        <f>IFERROR(__xludf.DUMMYFUNCTION("""COMPUTED_VALUE"""),"MA5807")</f>
        <v>MA5807</v>
      </c>
      <c r="D580" s="19" t="str">
        <f>IFERROR(__xludf.DUMMYFUNCTION("""COMPUTED_VALUE"""),"Los Riscos")</f>
        <v>Los Riscos</v>
      </c>
      <c r="E580" s="19" t="str">
        <f>IFERROR(__xludf.DUMMYFUNCTION("""COMPUTED_VALUE"""),"SITIO RFI")</f>
        <v>SITIO RFI</v>
      </c>
      <c r="F580" s="19" t="str">
        <f>IFERROR(__xludf.DUMMYFUNCTION("""COMPUTED_VALUE"""),"RFI")</f>
        <v>RFI</v>
      </c>
      <c r="G580" s="19" t="str">
        <f>IFERROR(__xludf.DUMMYFUNCTION("""COMPUTED_VALUE"""),"AS42")</f>
        <v>AS42</v>
      </c>
      <c r="H580" s="19" t="str">
        <f>IFERROR(__xludf.DUMMYFUNCTION("""COMPUTED_VALUE"""),"JTI")</f>
        <v>JTI</v>
      </c>
      <c r="I580" s="19" t="str">
        <f>IFERROR(__xludf.DUMMYFUNCTION("""COMPUTED_VALUE"""),"Entregada")</f>
        <v>Entregada</v>
      </c>
      <c r="J580" s="20">
        <f>IFERROR(__xludf.DUMMYFUNCTION("""COMPUTED_VALUE"""),44648.0)</f>
        <v>44648</v>
      </c>
      <c r="K580" s="19" t="str">
        <f>IFERROR(__xludf.DUMMYFUNCTION("""COMPUTED_VALUE"""),"Entregada")</f>
        <v>Entregada</v>
      </c>
      <c r="L580" s="20">
        <f>IFERROR(__xludf.DUMMYFUNCTION("""COMPUTED_VALUE"""),44517.0)</f>
        <v>44517</v>
      </c>
      <c r="M580" s="19" t="str">
        <f>IFERROR(__xludf.DUMMYFUNCTION("""COMPUTED_VALUE"""),"PCM")</f>
        <v>PCM</v>
      </c>
      <c r="N580" s="19" t="str">
        <f>IFERROR(__xludf.DUMMYFUNCTION("""COMPUTED_VALUE"""),"PRIORIDAD 1 Q3 2023 OCTUBRE")</f>
        <v>PRIORIDAD 1 Q3 2023 OCTUBRE</v>
      </c>
    </row>
    <row r="581" ht="15.75" customHeight="1">
      <c r="A581" s="19" t="str">
        <f>IFERROR(__xludf.DUMMYFUNCTION("""COMPUTED_VALUE"""),"AB_5808")</f>
        <v>AB_5808</v>
      </c>
      <c r="B581" s="19" t="str">
        <f>IFERROR(__xludf.DUMMYFUNCTION("""COMPUTED_VALUE"""),"AB_5808_A")</f>
        <v>AB_5808_A</v>
      </c>
      <c r="C581" s="19" t="str">
        <f>IFERROR(__xludf.DUMMYFUNCTION("""COMPUTED_VALUE"""),"MA5808")</f>
        <v>MA5808</v>
      </c>
      <c r="D581" s="19" t="str">
        <f>IFERROR(__xludf.DUMMYFUNCTION("""COMPUTED_VALUE"""),"Nirvilo")</f>
        <v>Nirvilo</v>
      </c>
      <c r="E581" s="19" t="str">
        <f>IFERROR(__xludf.DUMMYFUNCTION("""COMPUTED_VALUE"""),"SITIO RFI")</f>
        <v>SITIO RFI</v>
      </c>
      <c r="F581" s="19" t="str">
        <f>IFERROR(__xludf.DUMMYFUNCTION("""COMPUTED_VALUE"""),"RFI")</f>
        <v>RFI</v>
      </c>
      <c r="G581" s="19" t="str">
        <f>IFERROR(__xludf.DUMMYFUNCTION("""COMPUTED_VALUE"""),"AS42")</f>
        <v>AS42</v>
      </c>
      <c r="H581" s="19" t="str">
        <f>IFERROR(__xludf.DUMMYFUNCTION("""COMPUTED_VALUE"""),"MT")</f>
        <v>MT</v>
      </c>
      <c r="I581" s="19" t="str">
        <f>IFERROR(__xludf.DUMMYFUNCTION("""COMPUTED_VALUE"""),"Entregada")</f>
        <v>Entregada</v>
      </c>
      <c r="J581" s="20">
        <f>IFERROR(__xludf.DUMMYFUNCTION("""COMPUTED_VALUE"""),44636.0)</f>
        <v>44636</v>
      </c>
      <c r="K581" s="19" t="str">
        <f>IFERROR(__xludf.DUMMYFUNCTION("""COMPUTED_VALUE"""),"Entregada")</f>
        <v>Entregada</v>
      </c>
      <c r="L581" s="20">
        <f>IFERROR(__xludf.DUMMYFUNCTION("""COMPUTED_VALUE"""),44638.0)</f>
        <v>44638</v>
      </c>
      <c r="M581" s="19" t="str">
        <f>IFERROR(__xludf.DUMMYFUNCTION("""COMPUTED_VALUE"""),"PCM")</f>
        <v>PCM</v>
      </c>
      <c r="N581" s="19" t="str">
        <f>IFERROR(__xludf.DUMMYFUNCTION("""COMPUTED_VALUE"""),"PRIORIDAD 1 Q3 2023 OCTUBRE")</f>
        <v>PRIORIDAD 1 Q3 2023 OCTUBRE</v>
      </c>
    </row>
    <row r="582" ht="15.75" customHeight="1">
      <c r="A582" s="19" t="str">
        <f>IFERROR(__xludf.DUMMYFUNCTION("""COMPUTED_VALUE"""),"AB_7484")</f>
        <v>AB_7484</v>
      </c>
      <c r="B582" s="19" t="str">
        <f>IFERROR(__xludf.DUMMYFUNCTION("""COMPUTED_VALUE"""),"AB_7484_D")</f>
        <v>AB_7484_D</v>
      </c>
      <c r="C582" s="19" t="str">
        <f>IFERROR(__xludf.DUMMYFUNCTION("""COMPUTED_VALUE"""),"MA7484")</f>
        <v>MA7484</v>
      </c>
      <c r="D582" s="19" t="str">
        <f>IFERROR(__xludf.DUMMYFUNCTION("""COMPUTED_VALUE"""),"Corralones RU")</f>
        <v>Corralones RU</v>
      </c>
      <c r="E582" s="19" t="str">
        <f>IFERROR(__xludf.DUMMYFUNCTION("""COMPUTED_VALUE"""),"SITIO RFI")</f>
        <v>SITIO RFI</v>
      </c>
      <c r="F582" s="19" t="str">
        <f>IFERROR(__xludf.DUMMYFUNCTION("""COMPUTED_VALUE"""),"MONTAJE")</f>
        <v>MONTAJE</v>
      </c>
      <c r="G582" s="19" t="str">
        <f>IFERROR(__xludf.DUMMYFUNCTION("""COMPUTED_VALUE"""),"AS60")</f>
        <v>AS60</v>
      </c>
      <c r="H582" s="19" t="str">
        <f>IFERROR(__xludf.DUMMYFUNCTION("""COMPUTED_VALUE"""),"ADM")</f>
        <v>ADM</v>
      </c>
      <c r="I582" s="19" t="str">
        <f>IFERROR(__xludf.DUMMYFUNCTION("""COMPUTED_VALUE"""),"Terminada")</f>
        <v>Terminada</v>
      </c>
      <c r="J582" s="20">
        <f>IFERROR(__xludf.DUMMYFUNCTION("""COMPUTED_VALUE"""),44750.0)</f>
        <v>44750</v>
      </c>
      <c r="K582" s="19" t="str">
        <f>IFERROR(__xludf.DUMMYFUNCTION("""COMPUTED_VALUE"""),"Terminada")</f>
        <v>Terminada</v>
      </c>
      <c r="L582" s="20">
        <f>IFERROR(__xludf.DUMMYFUNCTION("""COMPUTED_VALUE"""),44890.0)</f>
        <v>44890</v>
      </c>
      <c r="M582" s="19" t="str">
        <f>IFERROR(__xludf.DUMMYFUNCTION("""COMPUTED_VALUE"""),"PP")</f>
        <v>PP</v>
      </c>
      <c r="N582" s="19" t="str">
        <f>IFERROR(__xludf.DUMMYFUNCTION("""COMPUTED_VALUE"""),"PRIORIDAD 1 Q3 2023 OCTUBRE")</f>
        <v>PRIORIDAD 1 Q3 2023 OCTUBRE</v>
      </c>
    </row>
    <row r="583" ht="15.75" customHeight="1">
      <c r="A583" s="19" t="str">
        <f>IFERROR(__xludf.DUMMYFUNCTION("""COMPUTED_VALUE"""),"AB_8225")</f>
        <v>AB_8225</v>
      </c>
      <c r="B583" s="19" t="str">
        <f>IFERROR(__xludf.DUMMYFUNCTION("""COMPUTED_VALUE"""),"AB_8225_A")</f>
        <v>AB_8225_A</v>
      </c>
      <c r="C583" s="19" t="str">
        <f>IFERROR(__xludf.DUMMYFUNCTION("""COMPUTED_VALUE"""),"MA8225")</f>
        <v>MA8225</v>
      </c>
      <c r="D583" s="19" t="str">
        <f>IFERROR(__xludf.DUMMYFUNCTION("""COMPUTED_VALUE"""),"Alto de Tilicura")</f>
        <v>Alto de Tilicura</v>
      </c>
      <c r="E583" s="19" t="str">
        <f>IFERROR(__xludf.DUMMYFUNCTION("""COMPUTED_VALUE"""),"SITIO RFI")</f>
        <v>SITIO RFI</v>
      </c>
      <c r="F583" s="19" t="str">
        <f>IFERROR(__xludf.DUMMYFUNCTION("""COMPUTED_VALUE"""),"RFI")</f>
        <v>RFI</v>
      </c>
      <c r="G583" s="19" t="str">
        <f>IFERROR(__xludf.DUMMYFUNCTION("""COMPUTED_VALUE"""),"AS48")</f>
        <v>AS48</v>
      </c>
      <c r="H583" s="19" t="str">
        <f>IFERROR(__xludf.DUMMYFUNCTION("""COMPUTED_VALUE"""),"JTI")</f>
        <v>JTI</v>
      </c>
      <c r="I583" s="19" t="str">
        <f>IFERROR(__xludf.DUMMYFUNCTION("""COMPUTED_VALUE"""),"Entregada")</f>
        <v>Entregada</v>
      </c>
      <c r="J583" s="20">
        <f>IFERROR(__xludf.DUMMYFUNCTION("""COMPUTED_VALUE"""),44610.0)</f>
        <v>44610</v>
      </c>
      <c r="K583" s="19" t="str">
        <f>IFERROR(__xludf.DUMMYFUNCTION("""COMPUTED_VALUE"""),"Entregada")</f>
        <v>Entregada</v>
      </c>
      <c r="L583" s="20">
        <f>IFERROR(__xludf.DUMMYFUNCTION("""COMPUTED_VALUE"""),44608.0)</f>
        <v>44608</v>
      </c>
      <c r="M583" s="19" t="str">
        <f>IFERROR(__xludf.DUMMYFUNCTION("""COMPUTED_VALUE"""),"PCM")</f>
        <v>PCM</v>
      </c>
      <c r="N583" s="19" t="str">
        <f>IFERROR(__xludf.DUMMYFUNCTION("""COMPUTED_VALUE"""),"PRIORIDAD 1 Q3 2023 OCTUBRE")</f>
        <v>PRIORIDAD 1 Q3 2023 OCTUBRE</v>
      </c>
    </row>
    <row r="584" ht="15.75" customHeight="1">
      <c r="A584" s="19" t="str">
        <f>IFERROR(__xludf.DUMMYFUNCTION("""COMPUTED_VALUE"""),"AB_8227")</f>
        <v>AB_8227</v>
      </c>
      <c r="B584" s="19" t="str">
        <f>IFERROR(__xludf.DUMMYFUNCTION("""COMPUTED_VALUE"""),"AB_8227_A")</f>
        <v>AB_8227_A</v>
      </c>
      <c r="C584" s="19" t="str">
        <f>IFERROR(__xludf.DUMMYFUNCTION("""COMPUTED_VALUE"""),"MA8227")</f>
        <v>MA8227</v>
      </c>
      <c r="D584" s="19" t="str">
        <f>IFERROR(__xludf.DUMMYFUNCTION("""COMPUTED_VALUE"""),"Viñedo Idahue Cerro")</f>
        <v>Viñedo Idahue Cerro</v>
      </c>
      <c r="E584" s="19" t="str">
        <f>IFERROR(__xludf.DUMMYFUNCTION("""COMPUTED_VALUE"""),"SITIO EN CONSTRUCCION")</f>
        <v>SITIO EN CONSTRUCCION</v>
      </c>
      <c r="F584" s="19" t="str">
        <f>IFERROR(__xludf.DUMMYFUNCTION("""COMPUTED_VALUE"""),"ENFIERRADURA")</f>
        <v>ENFIERRADURA</v>
      </c>
      <c r="G584" s="19" t="str">
        <f>IFERROR(__xludf.DUMMYFUNCTION("""COMPUTED_VALUE"""),"CV42")</f>
        <v>CV42</v>
      </c>
      <c r="H584" s="19" t="str">
        <f>IFERROR(__xludf.DUMMYFUNCTION("""COMPUTED_VALUE"""),"SYC")</f>
        <v>SYC</v>
      </c>
      <c r="I584" s="19" t="str">
        <f>IFERROR(__xludf.DUMMYFUNCTION("""COMPUTED_VALUE"""),"Entregada")</f>
        <v>Entregada</v>
      </c>
      <c r="J584" s="20">
        <f>IFERROR(__xludf.DUMMYFUNCTION("""COMPUTED_VALUE"""),44854.0)</f>
        <v>44854</v>
      </c>
      <c r="K584" s="19" t="str">
        <f>IFERROR(__xludf.DUMMYFUNCTION("""COMPUTED_VALUE"""),"Entregada")</f>
        <v>Entregada</v>
      </c>
      <c r="L584" s="20">
        <f>IFERROR(__xludf.DUMMYFUNCTION("""COMPUTED_VALUE"""),44869.0)</f>
        <v>44869</v>
      </c>
      <c r="M584" s="19" t="str">
        <f>IFERROR(__xludf.DUMMYFUNCTION("""COMPUTED_VALUE"""),"PCM")</f>
        <v>PCM</v>
      </c>
      <c r="N584" s="19" t="str">
        <f>IFERROR(__xludf.DUMMYFUNCTION("""COMPUTED_VALUE"""),"PRIORIDAD 1 Q3 2023 OCTUBRE")</f>
        <v>PRIORIDAD 1 Q3 2023 OCTUBRE</v>
      </c>
    </row>
    <row r="585" ht="15.75" customHeight="1">
      <c r="A585" s="19" t="str">
        <f>IFERROR(__xludf.DUMMYFUNCTION("""COMPUTED_VALUE"""),"AB_8228")</f>
        <v>AB_8228</v>
      </c>
      <c r="B585" s="19" t="str">
        <f>IFERROR(__xludf.DUMMYFUNCTION("""COMPUTED_VALUE"""),"AB_8228_A")</f>
        <v>AB_8228_A</v>
      </c>
      <c r="C585" s="19" t="str">
        <f>IFERROR(__xludf.DUMMYFUNCTION("""COMPUTED_VALUE"""),"MA8228")</f>
        <v>MA8228</v>
      </c>
      <c r="D585" s="19" t="str">
        <f>IFERROR(__xludf.DUMMYFUNCTION("""COMPUTED_VALUE"""),"Estero Iloca Cerro")</f>
        <v>Estero Iloca Cerro</v>
      </c>
      <c r="E585" s="19" t="str">
        <f>IFERROR(__xludf.DUMMYFUNCTION("""COMPUTED_VALUE"""),"SITIO PENDIENTE")</f>
        <v>SITIO PENDIENTE</v>
      </c>
      <c r="F585" s="19"/>
      <c r="G585" s="19" t="str">
        <f>IFERROR(__xludf.DUMMYFUNCTION("""COMPUTED_VALUE"""),"x")</f>
        <v>x</v>
      </c>
      <c r="H585" s="19" t="str">
        <f>IFERROR(__xludf.DUMMYFUNCTION("""COMPUTED_VALUE"""),"x")</f>
        <v>x</v>
      </c>
      <c r="I585" s="19" t="str">
        <f>IFERROR(__xludf.DUMMYFUNCTION("""COMPUTED_VALUE"""),"x")</f>
        <v>x</v>
      </c>
      <c r="J585" s="20" t="str">
        <f>IFERROR(__xludf.DUMMYFUNCTION("""COMPUTED_VALUE"""),"x")</f>
        <v>x</v>
      </c>
      <c r="K585" s="19" t="str">
        <f>IFERROR(__xludf.DUMMYFUNCTION("""COMPUTED_VALUE"""),"x")</f>
        <v>x</v>
      </c>
      <c r="L585" s="20" t="str">
        <f>IFERROR(__xludf.DUMMYFUNCTION("""COMPUTED_VALUE"""),"x")</f>
        <v>x</v>
      </c>
      <c r="M585" s="19" t="str">
        <f>IFERROR(__xludf.DUMMYFUNCTION("""COMPUTED_VALUE"""),"PCM")</f>
        <v>PCM</v>
      </c>
      <c r="N585" s="19" t="str">
        <f>IFERROR(__xludf.DUMMYFUNCTION("""COMPUTED_VALUE"""),"PRIORIDAD 3 Q1 2024 MARZO")</f>
        <v>PRIORIDAD 3 Q1 2024 MARZO</v>
      </c>
    </row>
    <row r="586" ht="15.75" customHeight="1">
      <c r="A586" s="19" t="str">
        <f>IFERROR(__xludf.DUMMYFUNCTION("""COMPUTED_VALUE"""),"AB_8254")</f>
        <v>AB_8254</v>
      </c>
      <c r="B586" s="19" t="str">
        <f>IFERROR(__xludf.DUMMYFUNCTION("""COMPUTED_VALUE"""),"AB_8254_B")</f>
        <v>AB_8254_B</v>
      </c>
      <c r="C586" s="19" t="str">
        <f>IFERROR(__xludf.DUMMYFUNCTION("""COMPUTED_VALUE"""),"MA8254")</f>
        <v>MA8254</v>
      </c>
      <c r="D586" s="19" t="str">
        <f>IFERROR(__xludf.DUMMYFUNCTION("""COMPUTED_VALUE"""),"Est Constitucion")</f>
        <v>Est Constitucion</v>
      </c>
      <c r="E586" s="19" t="str">
        <f>IFERROR(__xludf.DUMMYFUNCTION("""COMPUTED_VALUE"""),"SITIO RFI")</f>
        <v>SITIO RFI</v>
      </c>
      <c r="F586" s="19" t="str">
        <f>IFERROR(__xludf.DUMMYFUNCTION("""COMPUTED_VALUE"""),"RFI")</f>
        <v>RFI</v>
      </c>
      <c r="G586" s="19" t="str">
        <f>IFERROR(__xludf.DUMMYFUNCTION("""COMPUTED_VALUE"""),"MP18")</f>
        <v>MP18</v>
      </c>
      <c r="H586" s="19" t="str">
        <f>IFERROR(__xludf.DUMMYFUNCTION("""COMPUTED_VALUE"""),"MER")</f>
        <v>MER</v>
      </c>
      <c r="I586" s="19" t="str">
        <f>IFERROR(__xludf.DUMMYFUNCTION("""COMPUTED_VALUE"""),"Entregada")</f>
        <v>Entregada</v>
      </c>
      <c r="J586" s="20">
        <f>IFERROR(__xludf.DUMMYFUNCTION("""COMPUTED_VALUE"""),44697.0)</f>
        <v>44697</v>
      </c>
      <c r="K586" s="19" t="str">
        <f>IFERROR(__xludf.DUMMYFUNCTION("""COMPUTED_VALUE"""),"Entregada")</f>
        <v>Entregada</v>
      </c>
      <c r="L586" s="20">
        <f>IFERROR(__xludf.DUMMYFUNCTION("""COMPUTED_VALUE"""),44743.0)</f>
        <v>44743</v>
      </c>
      <c r="M586" s="19" t="str">
        <f>IFERROR(__xludf.DUMMYFUNCTION("""COMPUTED_VALUE"""),"PCM_5")</f>
        <v>PCM_5</v>
      </c>
      <c r="N586" s="19" t="str">
        <f>IFERROR(__xludf.DUMMYFUNCTION("""COMPUTED_VALUE"""),"PCM_5")</f>
        <v>PCM_5</v>
      </c>
    </row>
    <row r="587" ht="15.75" customHeight="1">
      <c r="A587" s="19" t="str">
        <f>IFERROR(__xludf.DUMMYFUNCTION("""COMPUTED_VALUE"""),"AB_8734")</f>
        <v>AB_8734</v>
      </c>
      <c r="B587" s="19" t="str">
        <f>IFERROR(__xludf.DUMMYFUNCTION("""COMPUTED_VALUE"""),"AB_8734_F")</f>
        <v>AB_8734_F</v>
      </c>
      <c r="C587" s="19" t="str">
        <f>IFERROR(__xludf.DUMMYFUNCTION("""COMPUTED_VALUE"""),"MA8734")</f>
        <v>MA8734</v>
      </c>
      <c r="D587" s="19" t="str">
        <f>IFERROR(__xludf.DUMMYFUNCTION("""COMPUTED_VALUE"""),"Teno Camino El Molino")</f>
        <v>Teno Camino El Molino</v>
      </c>
      <c r="E587" s="19" t="str">
        <f>IFERROR(__xludf.DUMMYFUNCTION("""COMPUTED_VALUE"""),"SITIO RFI")</f>
        <v>SITIO RFI</v>
      </c>
      <c r="F587" s="19" t="str">
        <f>IFERROR(__xludf.DUMMYFUNCTION("""COMPUTED_VALUE"""),"RFI")</f>
        <v>RFI</v>
      </c>
      <c r="G587" s="19" t="str">
        <f>IFERROR(__xludf.DUMMYFUNCTION("""COMPUTED_VALUE"""),"AS48")</f>
        <v>AS48</v>
      </c>
      <c r="H587" s="19" t="str">
        <f>IFERROR(__xludf.DUMMYFUNCTION("""COMPUTED_VALUE"""),"METALING")</f>
        <v>METALING</v>
      </c>
      <c r="I587" s="19" t="str">
        <f>IFERROR(__xludf.DUMMYFUNCTION("""COMPUTED_VALUE"""),"Entregada")</f>
        <v>Entregada</v>
      </c>
      <c r="J587" s="20">
        <f>IFERROR(__xludf.DUMMYFUNCTION("""COMPUTED_VALUE"""),44869.0)</f>
        <v>44869</v>
      </c>
      <c r="K587" s="19" t="str">
        <f>IFERROR(__xludf.DUMMYFUNCTION("""COMPUTED_VALUE"""),"Entregada")</f>
        <v>Entregada</v>
      </c>
      <c r="L587" s="20">
        <f>IFERROR(__xludf.DUMMYFUNCTION("""COMPUTED_VALUE"""),44908.0)</f>
        <v>44908</v>
      </c>
      <c r="M587" s="19" t="str">
        <f>IFERROR(__xludf.DUMMYFUNCTION("""COMPUTED_VALUE"""),"LLOO")</f>
        <v>LLOO</v>
      </c>
      <c r="N587" s="19" t="str">
        <f>IFERROR(__xludf.DUMMYFUNCTION("""COMPUTED_VALUE"""),"PRIORIDAD 1 Q3 2023 OCTUBRE")</f>
        <v>PRIORIDAD 1 Q3 2023 OCTUBRE</v>
      </c>
    </row>
    <row r="588" ht="15.75" customHeight="1">
      <c r="A588" s="19" t="str">
        <f>IFERROR(__xludf.DUMMYFUNCTION("""COMPUTED_VALUE"""),"AB_8739")</f>
        <v>AB_8739</v>
      </c>
      <c r="B588" s="19" t="str">
        <f>IFERROR(__xludf.DUMMYFUNCTION("""COMPUTED_VALUE"""),"AB_8739_B")</f>
        <v>AB_8739_B</v>
      </c>
      <c r="C588" s="19" t="str">
        <f>IFERROR(__xludf.DUMMYFUNCTION("""COMPUTED_VALUE"""),"MA8739")</f>
        <v>MA8739</v>
      </c>
      <c r="D588" s="19" t="str">
        <f>IFERROR(__xludf.DUMMYFUNCTION("""COMPUTED_VALUE"""),"Plaza de Melozal")</f>
        <v>Plaza de Melozal</v>
      </c>
      <c r="E588" s="19" t="str">
        <f>IFERROR(__xludf.DUMMYFUNCTION("""COMPUTED_VALUE"""),"SITIO RFI")</f>
        <v>SITIO RFI</v>
      </c>
      <c r="F588" s="19" t="str">
        <f>IFERROR(__xludf.DUMMYFUNCTION("""COMPUTED_VALUE"""),"RFI")</f>
        <v>RFI</v>
      </c>
      <c r="G588" s="19" t="str">
        <f>IFERROR(__xludf.DUMMYFUNCTION("""COMPUTED_VALUE"""),"AS60")</f>
        <v>AS60</v>
      </c>
      <c r="H588" s="19" t="str">
        <f>IFERROR(__xludf.DUMMYFUNCTION("""COMPUTED_VALUE"""),"MER")</f>
        <v>MER</v>
      </c>
      <c r="I588" s="19" t="str">
        <f>IFERROR(__xludf.DUMMYFUNCTION("""COMPUTED_VALUE"""),"Entregada")</f>
        <v>Entregada</v>
      </c>
      <c r="J588" s="20">
        <f>IFERROR(__xludf.DUMMYFUNCTION("""COMPUTED_VALUE"""),44693.0)</f>
        <v>44693</v>
      </c>
      <c r="K588" s="19" t="str">
        <f>IFERROR(__xludf.DUMMYFUNCTION("""COMPUTED_VALUE"""),"Entregada")</f>
        <v>Entregada</v>
      </c>
      <c r="L588" s="20">
        <f>IFERROR(__xludf.DUMMYFUNCTION("""COMPUTED_VALUE"""),44722.0)</f>
        <v>44722</v>
      </c>
      <c r="M588" s="19" t="str">
        <f>IFERROR(__xludf.DUMMYFUNCTION("""COMPUTED_VALUE"""),"PCM")</f>
        <v>PCM</v>
      </c>
      <c r="N588" s="19" t="str">
        <f>IFERROR(__xludf.DUMMYFUNCTION("""COMPUTED_VALUE"""),"PRIORIDAD 1 Q3 2023 OCTUBRE")</f>
        <v>PRIORIDAD 1 Q3 2023 OCTUBRE</v>
      </c>
    </row>
    <row r="589" ht="15.75" customHeight="1">
      <c r="A589" s="19" t="str">
        <f>IFERROR(__xludf.DUMMYFUNCTION("""COMPUTED_VALUE"""),"AB_8750")</f>
        <v>AB_8750</v>
      </c>
      <c r="B589" s="19" t="str">
        <f>IFERROR(__xludf.DUMMYFUNCTION("""COMPUTED_VALUE"""),"AB_8750_B")</f>
        <v>AB_8750_B</v>
      </c>
      <c r="C589" s="19" t="str">
        <f>IFERROR(__xludf.DUMMYFUNCTION("""COMPUTED_VALUE"""),"MA8750")</f>
        <v>MA8750</v>
      </c>
      <c r="D589" s="19" t="str">
        <f>IFERROR(__xludf.DUMMYFUNCTION("""COMPUTED_VALUE"""),"Ruta K 219 El Porvenir")</f>
        <v>Ruta K 219 El Porvenir</v>
      </c>
      <c r="E589" s="19" t="str">
        <f>IFERROR(__xludf.DUMMYFUNCTION("""COMPUTED_VALUE"""),"SITIO RFI")</f>
        <v>SITIO RFI</v>
      </c>
      <c r="F589" s="19" t="str">
        <f>IFERROR(__xludf.DUMMYFUNCTION("""COMPUTED_VALUE"""),"RFI")</f>
        <v>RFI</v>
      </c>
      <c r="G589" s="19" t="str">
        <f>IFERROR(__xludf.DUMMYFUNCTION("""COMPUTED_VALUE"""),"CV60")</f>
        <v>CV60</v>
      </c>
      <c r="H589" s="19" t="str">
        <f>IFERROR(__xludf.DUMMYFUNCTION("""COMPUTED_VALUE"""),"ADM")</f>
        <v>ADM</v>
      </c>
      <c r="I589" s="19" t="str">
        <f>IFERROR(__xludf.DUMMYFUNCTION("""COMPUTED_VALUE"""),"Entregada")</f>
        <v>Entregada</v>
      </c>
      <c r="J589" s="20">
        <f>IFERROR(__xludf.DUMMYFUNCTION("""COMPUTED_VALUE"""),44743.0)</f>
        <v>44743</v>
      </c>
      <c r="K589" s="19" t="str">
        <f>IFERROR(__xludf.DUMMYFUNCTION("""COMPUTED_VALUE"""),"Entregada")</f>
        <v>Entregada</v>
      </c>
      <c r="L589" s="20">
        <f>IFERROR(__xludf.DUMMYFUNCTION("""COMPUTED_VALUE"""),44861.0)</f>
        <v>44861</v>
      </c>
      <c r="M589" s="19" t="str">
        <f>IFERROR(__xludf.DUMMYFUNCTION("""COMPUTED_VALUE"""),"PCM")</f>
        <v>PCM</v>
      </c>
      <c r="N589" s="19" t="str">
        <f>IFERROR(__xludf.DUMMYFUNCTION("""COMPUTED_VALUE"""),"PRIORIDAD 1 Q3 2023 OCTUBRE")</f>
        <v>PRIORIDAD 1 Q3 2023 OCTUBRE</v>
      </c>
    </row>
    <row r="590" ht="15.75" customHeight="1">
      <c r="A590" s="19" t="str">
        <f>IFERROR(__xludf.DUMMYFUNCTION("""COMPUTED_VALUE"""),"AB_8754")</f>
        <v>AB_8754</v>
      </c>
      <c r="B590" s="19" t="str">
        <f>IFERROR(__xludf.DUMMYFUNCTION("""COMPUTED_VALUE"""),"AB_8754_E")</f>
        <v>AB_8754_E</v>
      </c>
      <c r="C590" s="19" t="str">
        <f>IFERROR(__xludf.DUMMYFUNCTION("""COMPUTED_VALUE"""),"MA8754")</f>
        <v>MA8754</v>
      </c>
      <c r="D590" s="19" t="str">
        <f>IFERROR(__xludf.DUMMYFUNCTION("""COMPUTED_VALUE"""),"Lo Figueroa Pencahue")</f>
        <v>Lo Figueroa Pencahue</v>
      </c>
      <c r="E590" s="19" t="str">
        <f>IFERROR(__xludf.DUMMYFUNCTION("""COMPUTED_VALUE"""),"SITIO RFI")</f>
        <v>SITIO RFI</v>
      </c>
      <c r="F590" s="19" t="str">
        <f>IFERROR(__xludf.DUMMYFUNCTION("""COMPUTED_VALUE"""),"RFI")</f>
        <v>RFI</v>
      </c>
      <c r="G590" s="19" t="str">
        <f>IFERROR(__xludf.DUMMYFUNCTION("""COMPUTED_VALUE"""),"AS18")</f>
        <v>AS18</v>
      </c>
      <c r="H590" s="19" t="str">
        <f>IFERROR(__xludf.DUMMYFUNCTION("""COMPUTED_VALUE"""),"AJ")</f>
        <v>AJ</v>
      </c>
      <c r="I590" s="19" t="str">
        <f>IFERROR(__xludf.DUMMYFUNCTION("""COMPUTED_VALUE"""),"Entregada")</f>
        <v>Entregada</v>
      </c>
      <c r="J590" s="20">
        <f>IFERROR(__xludf.DUMMYFUNCTION("""COMPUTED_VALUE"""),44697.0)</f>
        <v>44697</v>
      </c>
      <c r="K590" s="19" t="str">
        <f>IFERROR(__xludf.DUMMYFUNCTION("""COMPUTED_VALUE"""),"Entregada")</f>
        <v>Entregada</v>
      </c>
      <c r="L590" s="20">
        <f>IFERROR(__xludf.DUMMYFUNCTION("""COMPUTED_VALUE"""),44743.0)</f>
        <v>44743</v>
      </c>
      <c r="M590" s="19" t="str">
        <f>IFERROR(__xludf.DUMMYFUNCTION("""COMPUTED_VALUE"""),"PCM")</f>
        <v>PCM</v>
      </c>
      <c r="N590" s="19" t="str">
        <f>IFERROR(__xludf.DUMMYFUNCTION("""COMPUTED_VALUE"""),"PRIORIDAD 1 Q3 2023 OCTUBRE")</f>
        <v>PRIORIDAD 1 Q3 2023 OCTUBRE</v>
      </c>
    </row>
    <row r="591" ht="15.75" customHeight="1">
      <c r="A591" s="19" t="str">
        <f>IFERROR(__xludf.DUMMYFUNCTION("""COMPUTED_VALUE"""),"AB_8915")</f>
        <v>AB_8915</v>
      </c>
      <c r="B591" s="19" t="str">
        <f>IFERROR(__xludf.DUMMYFUNCTION("""COMPUTED_VALUE"""),"AB_8915_A")</f>
        <v>AB_8915_A</v>
      </c>
      <c r="C591" s="19" t="str">
        <f>IFERROR(__xludf.DUMMYFUNCTION("""COMPUTED_VALUE"""),"MA8915")</f>
        <v>MA8915</v>
      </c>
      <c r="D591" s="19" t="str">
        <f>IFERROR(__xludf.DUMMYFUNCTION("""COMPUTED_VALUE"""),"Huaquen Poniente")</f>
        <v>Huaquen Poniente</v>
      </c>
      <c r="E591" s="19" t="str">
        <f>IFERROR(__xludf.DUMMYFUNCTION("""COMPUTED_VALUE"""),"SITIO RFI")</f>
        <v>SITIO RFI</v>
      </c>
      <c r="F591" s="19" t="str">
        <f>IFERROR(__xludf.DUMMYFUNCTION("""COMPUTED_VALUE"""),"RFI")</f>
        <v>RFI</v>
      </c>
      <c r="G591" s="19" t="str">
        <f>IFERROR(__xludf.DUMMYFUNCTION("""COMPUTED_VALUE"""),"MP24")</f>
        <v>MP24</v>
      </c>
      <c r="H591" s="19" t="str">
        <f>IFERROR(__xludf.DUMMYFUNCTION("""COMPUTED_VALUE"""),"MER")</f>
        <v>MER</v>
      </c>
      <c r="I591" s="19" t="str">
        <f>IFERROR(__xludf.DUMMYFUNCTION("""COMPUTED_VALUE"""),"Entregada")</f>
        <v>Entregada</v>
      </c>
      <c r="J591" s="20">
        <f>IFERROR(__xludf.DUMMYFUNCTION("""COMPUTED_VALUE"""),44673.0)</f>
        <v>44673</v>
      </c>
      <c r="K591" s="19" t="str">
        <f>IFERROR(__xludf.DUMMYFUNCTION("""COMPUTED_VALUE"""),"Entregada")</f>
        <v>Entregada</v>
      </c>
      <c r="L591" s="20">
        <f>IFERROR(__xludf.DUMMYFUNCTION("""COMPUTED_VALUE"""),44680.0)</f>
        <v>44680</v>
      </c>
      <c r="M591" s="19" t="str">
        <f>IFERROR(__xludf.DUMMYFUNCTION("""COMPUTED_VALUE"""),"PCM")</f>
        <v>PCM</v>
      </c>
      <c r="N591" s="19" t="str">
        <f>IFERROR(__xludf.DUMMYFUNCTION("""COMPUTED_VALUE"""),"PRIORIDAD 1 Q3 2023 OCTUBRE")</f>
        <v>PRIORIDAD 1 Q3 2023 OCTUBRE</v>
      </c>
    </row>
    <row r="592" ht="15.75" customHeight="1">
      <c r="A592" s="19" t="str">
        <f>IFERROR(__xludf.DUMMYFUNCTION("""COMPUTED_VALUE"""),"AB_8920")</f>
        <v>AB_8920</v>
      </c>
      <c r="B592" s="19" t="str">
        <f>IFERROR(__xludf.DUMMYFUNCTION("""COMPUTED_VALUE"""),"AB_8920_D")</f>
        <v>AB_8920_D</v>
      </c>
      <c r="C592" s="19" t="str">
        <f>IFERROR(__xludf.DUMMYFUNCTION("""COMPUTED_VALUE"""),"MA8920")</f>
        <v>MA8920</v>
      </c>
      <c r="D592" s="19" t="str">
        <f>IFERROR(__xludf.DUMMYFUNCTION("""COMPUTED_VALUE"""),"Tregualemu")</f>
        <v>Tregualemu</v>
      </c>
      <c r="E592" s="19" t="str">
        <f>IFERROR(__xludf.DUMMYFUNCTION("""COMPUTED_VALUE"""),"SITIO RFI")</f>
        <v>SITIO RFI</v>
      </c>
      <c r="F592" s="19" t="str">
        <f>IFERROR(__xludf.DUMMYFUNCTION("""COMPUTED_VALUE"""),"RFI")</f>
        <v>RFI</v>
      </c>
      <c r="G592" s="19" t="str">
        <f>IFERROR(__xludf.DUMMYFUNCTION("""COMPUTED_VALUE"""),"CV60")</f>
        <v>CV60</v>
      </c>
      <c r="H592" s="19" t="str">
        <f>IFERROR(__xludf.DUMMYFUNCTION("""COMPUTED_VALUE"""),"AJ")</f>
        <v>AJ</v>
      </c>
      <c r="I592" s="19" t="str">
        <f>IFERROR(__xludf.DUMMYFUNCTION("""COMPUTED_VALUE"""),"Entregada")</f>
        <v>Entregada</v>
      </c>
      <c r="J592" s="20">
        <f>IFERROR(__xludf.DUMMYFUNCTION("""COMPUTED_VALUE"""),44732.0)</f>
        <v>44732</v>
      </c>
      <c r="K592" s="19" t="str">
        <f>IFERROR(__xludf.DUMMYFUNCTION("""COMPUTED_VALUE"""),"Entregada")</f>
        <v>Entregada</v>
      </c>
      <c r="L592" s="20">
        <f>IFERROR(__xludf.DUMMYFUNCTION("""COMPUTED_VALUE"""),44764.0)</f>
        <v>44764</v>
      </c>
      <c r="M592" s="19" t="str">
        <f>IFERROR(__xludf.DUMMYFUNCTION("""COMPUTED_VALUE"""),"PCM")</f>
        <v>PCM</v>
      </c>
      <c r="N592" s="19" t="str">
        <f>IFERROR(__xludf.DUMMYFUNCTION("""COMPUTED_VALUE"""),"PRIORIDAD 1 Q3 2023 OCTUBRE")</f>
        <v>PRIORIDAD 1 Q3 2023 OCTUBRE</v>
      </c>
    </row>
    <row r="593" ht="15.75" customHeight="1">
      <c r="A593" s="19" t="str">
        <f>IFERROR(__xludf.DUMMYFUNCTION("""COMPUTED_VALUE"""),"AB_8928")</f>
        <v>AB_8928</v>
      </c>
      <c r="B593" s="19" t="str">
        <f>IFERROR(__xludf.DUMMYFUNCTION("""COMPUTED_VALUE"""),"AB_8928_C")</f>
        <v>AB_8928_C</v>
      </c>
      <c r="C593" s="19" t="str">
        <f>IFERROR(__xludf.DUMMYFUNCTION("""COMPUTED_VALUE"""),"MA8928")</f>
        <v>MA8928</v>
      </c>
      <c r="D593" s="19" t="str">
        <f>IFERROR(__xludf.DUMMYFUNCTION("""COMPUTED_VALUE"""),"Huaquen Oriente")</f>
        <v>Huaquen Oriente</v>
      </c>
      <c r="E593" s="19" t="str">
        <f>IFERROR(__xludf.DUMMYFUNCTION("""COMPUTED_VALUE"""),"SITIO RFI")</f>
        <v>SITIO RFI</v>
      </c>
      <c r="F593" s="19" t="str">
        <f>IFERROR(__xludf.DUMMYFUNCTION("""COMPUTED_VALUE"""),"RFI")</f>
        <v>RFI</v>
      </c>
      <c r="G593" s="19" t="str">
        <f>IFERROR(__xludf.DUMMYFUNCTION("""COMPUTED_VALUE"""),"MP24")</f>
        <v>MP24</v>
      </c>
      <c r="H593" s="19" t="str">
        <f>IFERROR(__xludf.DUMMYFUNCTION("""COMPUTED_VALUE"""),"MER")</f>
        <v>MER</v>
      </c>
      <c r="I593" s="19" t="str">
        <f>IFERROR(__xludf.DUMMYFUNCTION("""COMPUTED_VALUE"""),"Entregada")</f>
        <v>Entregada</v>
      </c>
      <c r="J593" s="20">
        <f>IFERROR(__xludf.DUMMYFUNCTION("""COMPUTED_VALUE"""),44697.0)</f>
        <v>44697</v>
      </c>
      <c r="K593" s="19" t="str">
        <f>IFERROR(__xludf.DUMMYFUNCTION("""COMPUTED_VALUE"""),"Entregada")</f>
        <v>Entregada</v>
      </c>
      <c r="L593" s="20">
        <f>IFERROR(__xludf.DUMMYFUNCTION("""COMPUTED_VALUE"""),44708.0)</f>
        <v>44708</v>
      </c>
      <c r="M593" s="19" t="str">
        <f>IFERROR(__xludf.DUMMYFUNCTION("""COMPUTED_VALUE"""),"PCM")</f>
        <v>PCM</v>
      </c>
      <c r="N593" s="19" t="str">
        <f>IFERROR(__xludf.DUMMYFUNCTION("""COMPUTED_VALUE"""),"PRIORIDAD 1 Q3 2023 OCTUBRE")</f>
        <v>PRIORIDAD 1 Q3 2023 OCTUBRE</v>
      </c>
    </row>
    <row r="594" ht="15.75" customHeight="1">
      <c r="A594" s="19" t="str">
        <f>IFERROR(__xludf.DUMMYFUNCTION("""COMPUTED_VALUE"""),"AB_8977")</f>
        <v>AB_8977</v>
      </c>
      <c r="B594" s="19" t="str">
        <f>IFERROR(__xludf.DUMMYFUNCTION("""COMPUTED_VALUE"""),"AB_8977_A")</f>
        <v>AB_8977_A</v>
      </c>
      <c r="C594" s="19" t="str">
        <f>IFERROR(__xludf.DUMMYFUNCTION("""COMPUTED_VALUE"""),"MA8977")</f>
        <v>MA8977</v>
      </c>
      <c r="D594" s="19" t="str">
        <f>IFERROR(__xludf.DUMMYFUNCTION("""COMPUTED_VALUE"""),"Villa Alegre Poniente")</f>
        <v>Villa Alegre Poniente</v>
      </c>
      <c r="E594" s="19" t="str">
        <f>IFERROR(__xludf.DUMMYFUNCTION("""COMPUTED_VALUE"""),"SITIO RFI")</f>
        <v>SITIO RFI</v>
      </c>
      <c r="F594" s="19" t="str">
        <f>IFERROR(__xludf.DUMMYFUNCTION("""COMPUTED_VALUE"""),"RFI")</f>
        <v>RFI</v>
      </c>
      <c r="G594" s="19" t="str">
        <f>IFERROR(__xludf.DUMMYFUNCTION("""COMPUTED_VALUE"""),"CV60")</f>
        <v>CV60</v>
      </c>
      <c r="H594" s="19" t="str">
        <f>IFERROR(__xludf.DUMMYFUNCTION("""COMPUTED_VALUE"""),"ADM")</f>
        <v>ADM</v>
      </c>
      <c r="I594" s="19" t="str">
        <f>IFERROR(__xludf.DUMMYFUNCTION("""COMPUTED_VALUE"""),"Entregada")</f>
        <v>Entregada</v>
      </c>
      <c r="J594" s="20">
        <f>IFERROR(__xludf.DUMMYFUNCTION("""COMPUTED_VALUE"""),44774.0)</f>
        <v>44774</v>
      </c>
      <c r="K594" s="19" t="str">
        <f>IFERROR(__xludf.DUMMYFUNCTION("""COMPUTED_VALUE"""),"Entregada")</f>
        <v>Entregada</v>
      </c>
      <c r="L594" s="20">
        <f>IFERROR(__xludf.DUMMYFUNCTION("""COMPUTED_VALUE"""),44799.0)</f>
        <v>44799</v>
      </c>
      <c r="M594" s="19" t="str">
        <f>IFERROR(__xludf.DUMMYFUNCTION("""COMPUTED_VALUE"""),"PCM")</f>
        <v>PCM</v>
      </c>
      <c r="N594" s="19" t="str">
        <f>IFERROR(__xludf.DUMMYFUNCTION("""COMPUTED_VALUE"""),"PRIORIDAD 1 Q3 2023 OCTUBRE")</f>
        <v>PRIORIDAD 1 Q3 2023 OCTUBRE</v>
      </c>
    </row>
    <row r="595" ht="15.75" customHeight="1">
      <c r="A595" s="19" t="str">
        <f>IFERROR(__xludf.DUMMYFUNCTION("""COMPUTED_VALUE"""),"AB_9061")</f>
        <v>AB_9061</v>
      </c>
      <c r="B595" s="19" t="str">
        <f>IFERROR(__xludf.DUMMYFUNCTION("""COMPUTED_VALUE"""),"AB_9061_B")</f>
        <v>AB_9061_B</v>
      </c>
      <c r="C595" s="19" t="str">
        <f>IFERROR(__xludf.DUMMYFUNCTION("""COMPUTED_VALUE"""),"MA9061")</f>
        <v>MA9061</v>
      </c>
      <c r="D595" s="19" t="str">
        <f>IFERROR(__xludf.DUMMYFUNCTION("""COMPUTED_VALUE"""),"Botaculra Pencahue")</f>
        <v>Botaculra Pencahue</v>
      </c>
      <c r="E595" s="19" t="str">
        <f>IFERROR(__xludf.DUMMYFUNCTION("""COMPUTED_VALUE"""),"SITIO RFI")</f>
        <v>SITIO RFI</v>
      </c>
      <c r="F595" s="19" t="str">
        <f>IFERROR(__xludf.DUMMYFUNCTION("""COMPUTED_VALUE"""),"RFI")</f>
        <v>RFI</v>
      </c>
      <c r="G595" s="19" t="str">
        <f>IFERROR(__xludf.DUMMYFUNCTION("""COMPUTED_VALUE"""),"AS42")</f>
        <v>AS42</v>
      </c>
      <c r="H595" s="19" t="str">
        <f>IFERROR(__xludf.DUMMYFUNCTION("""COMPUTED_VALUE"""),"AJ")</f>
        <v>AJ</v>
      </c>
      <c r="I595" s="19" t="str">
        <f>IFERROR(__xludf.DUMMYFUNCTION("""COMPUTED_VALUE"""),"Entregada")</f>
        <v>Entregada</v>
      </c>
      <c r="J595" s="20">
        <f>IFERROR(__xludf.DUMMYFUNCTION("""COMPUTED_VALUE"""),44627.0)</f>
        <v>44627</v>
      </c>
      <c r="K595" s="19" t="str">
        <f>IFERROR(__xludf.DUMMYFUNCTION("""COMPUTED_VALUE"""),"Entregada")</f>
        <v>Entregada</v>
      </c>
      <c r="L595" s="20">
        <f>IFERROR(__xludf.DUMMYFUNCTION("""COMPUTED_VALUE"""),44669.0)</f>
        <v>44669</v>
      </c>
      <c r="M595" s="19" t="str">
        <f>IFERROR(__xludf.DUMMYFUNCTION("""COMPUTED_VALUE"""),"PCM")</f>
        <v>PCM</v>
      </c>
      <c r="N595" s="19" t="str">
        <f>IFERROR(__xludf.DUMMYFUNCTION("""COMPUTED_VALUE"""),"PRIORIDAD 1 Q3 2023 OCTUBRE")</f>
        <v>PRIORIDAD 1 Q3 2023 OCTUBRE</v>
      </c>
    </row>
    <row r="596" ht="15.75" customHeight="1">
      <c r="A596" s="19" t="str">
        <f>IFERROR(__xludf.DUMMYFUNCTION("""COMPUTED_VALUE"""),"AB_9588")</f>
        <v>AB_9588</v>
      </c>
      <c r="B596" s="19" t="str">
        <f>IFERROR(__xludf.DUMMYFUNCTION("""COMPUTED_VALUE"""),"AB_9588_K")</f>
        <v>AB_9588_K</v>
      </c>
      <c r="C596" s="19" t="str">
        <f>IFERROR(__xludf.DUMMYFUNCTION("""COMPUTED_VALUE"""),"MA9588")</f>
        <v>MA9588</v>
      </c>
      <c r="D596" s="19" t="str">
        <f>IFERROR(__xludf.DUMMYFUNCTION("""COMPUTED_VALUE"""),"Los Guachos Cerro")</f>
        <v>Los Guachos Cerro</v>
      </c>
      <c r="E596" s="19" t="str">
        <f>IFERROR(__xludf.DUMMYFUNCTION("""COMPUTED_VALUE"""),"SITIO RFI")</f>
        <v>SITIO RFI</v>
      </c>
      <c r="F596" s="19" t="str">
        <f>IFERROR(__xludf.DUMMYFUNCTION("""COMPUTED_VALUE"""),"RFI")</f>
        <v>RFI</v>
      </c>
      <c r="G596" s="19" t="str">
        <f>IFERROR(__xludf.DUMMYFUNCTION("""COMPUTED_VALUE"""),"CV60")</f>
        <v>CV60</v>
      </c>
      <c r="H596" s="19" t="str">
        <f>IFERROR(__xludf.DUMMYFUNCTION("""COMPUTED_VALUE"""),"ADM")</f>
        <v>ADM</v>
      </c>
      <c r="I596" s="19" t="str">
        <f>IFERROR(__xludf.DUMMYFUNCTION("""COMPUTED_VALUE"""),"Entregada")</f>
        <v>Entregada</v>
      </c>
      <c r="J596" s="20">
        <f>IFERROR(__xludf.DUMMYFUNCTION("""COMPUTED_VALUE"""),44743.0)</f>
        <v>44743</v>
      </c>
      <c r="K596" s="19" t="str">
        <f>IFERROR(__xludf.DUMMYFUNCTION("""COMPUTED_VALUE"""),"Entregada")</f>
        <v>Entregada</v>
      </c>
      <c r="L596" s="20">
        <f>IFERROR(__xludf.DUMMYFUNCTION("""COMPUTED_VALUE"""),44890.0)</f>
        <v>44890</v>
      </c>
      <c r="M596" s="19" t="str">
        <f>IFERROR(__xludf.DUMMYFUNCTION("""COMPUTED_VALUE"""),"PCM")</f>
        <v>PCM</v>
      </c>
      <c r="N596" s="19" t="str">
        <f>IFERROR(__xludf.DUMMYFUNCTION("""COMPUTED_VALUE"""),"PRIORIDAD 1 Q3 2023 OCTUBRE")</f>
        <v>PRIORIDAD 1 Q3 2023 OCTUBRE</v>
      </c>
    </row>
    <row r="597" ht="15.75" customHeight="1">
      <c r="A597" s="19" t="str">
        <f>IFERROR(__xludf.DUMMYFUNCTION("""COMPUTED_VALUE"""),"AB_9591")</f>
        <v>AB_9591</v>
      </c>
      <c r="B597" s="19" t="str">
        <f>IFERROR(__xludf.DUMMYFUNCTION("""COMPUTED_VALUE"""),"AB_9591_F")</f>
        <v>AB_9591_F</v>
      </c>
      <c r="C597" s="19" t="str">
        <f>IFERROR(__xludf.DUMMYFUNCTION("""COMPUTED_VALUE"""),"MA9591")</f>
        <v>MA9591</v>
      </c>
      <c r="D597" s="19" t="str">
        <f>IFERROR(__xludf.DUMMYFUNCTION("""COMPUTED_VALUE"""),"Colin Cerro")</f>
        <v>Colin Cerro</v>
      </c>
      <c r="E597" s="19" t="str">
        <f>IFERROR(__xludf.DUMMYFUNCTION("""COMPUTED_VALUE"""),"SITIO RFI")</f>
        <v>SITIO RFI</v>
      </c>
      <c r="F597" s="19" t="str">
        <f>IFERROR(__xludf.DUMMYFUNCTION("""COMPUTED_VALUE"""),"MONTAJE")</f>
        <v>MONTAJE</v>
      </c>
      <c r="G597" s="19" t="str">
        <f>IFERROR(__xludf.DUMMYFUNCTION("""COMPUTED_VALUE"""),"CV48")</f>
        <v>CV48</v>
      </c>
      <c r="H597" s="19" t="str">
        <f>IFERROR(__xludf.DUMMYFUNCTION("""COMPUTED_VALUE"""),"MER")</f>
        <v>MER</v>
      </c>
      <c r="I597" s="19" t="str">
        <f>IFERROR(__xludf.DUMMYFUNCTION("""COMPUTED_VALUE"""),"Entregada")</f>
        <v>Entregada</v>
      </c>
      <c r="J597" s="20">
        <f>IFERROR(__xludf.DUMMYFUNCTION("""COMPUTED_VALUE"""),45051.0)</f>
        <v>45051</v>
      </c>
      <c r="K597" s="19" t="str">
        <f>IFERROR(__xludf.DUMMYFUNCTION("""COMPUTED_VALUE"""),"Entregada")</f>
        <v>Entregada</v>
      </c>
      <c r="L597" s="20">
        <f>IFERROR(__xludf.DUMMYFUNCTION("""COMPUTED_VALUE"""),45054.0)</f>
        <v>45054</v>
      </c>
      <c r="M597" s="19" t="str">
        <f>IFERROR(__xludf.DUMMYFUNCTION("""COMPUTED_VALUE"""),"PCM")</f>
        <v>PCM</v>
      </c>
      <c r="N597" s="19" t="str">
        <f>IFERROR(__xludf.DUMMYFUNCTION("""COMPUTED_VALUE"""),"PRIORIDAD 1 Q3 2023 OCTUBRE")</f>
        <v>PRIORIDAD 1 Q3 2023 OCTUBRE</v>
      </c>
    </row>
    <row r="598" ht="15.75" customHeight="1">
      <c r="A598" s="19" t="str">
        <f>IFERROR(__xludf.DUMMYFUNCTION("""COMPUTED_VALUE"""),"AB_9672")</f>
        <v>AB_9672</v>
      </c>
      <c r="B598" s="19" t="str">
        <f>IFERROR(__xludf.DUMMYFUNCTION("""COMPUTED_VALUE"""),"AB_9672_A")</f>
        <v>AB_9672_A</v>
      </c>
      <c r="C598" s="19" t="str">
        <f>IFERROR(__xludf.DUMMYFUNCTION("""COMPUTED_VALUE"""),"MA9672")</f>
        <v>MA9672</v>
      </c>
      <c r="D598" s="19" t="str">
        <f>IFERROR(__xludf.DUMMYFUNCTION("""COMPUTED_VALUE"""),"Lagunillas Chanco")</f>
        <v>Lagunillas Chanco</v>
      </c>
      <c r="E598" s="19" t="str">
        <f>IFERROR(__xludf.DUMMYFUNCTION("""COMPUTED_VALUE"""),"SITIO RFI")</f>
        <v>SITIO RFI</v>
      </c>
      <c r="F598" s="19" t="str">
        <f>IFERROR(__xludf.DUMMYFUNCTION("""COMPUTED_VALUE"""),"RFI")</f>
        <v>RFI</v>
      </c>
      <c r="G598" s="19" t="str">
        <f>IFERROR(__xludf.DUMMYFUNCTION("""COMPUTED_VALUE"""),"AS60")</f>
        <v>AS60</v>
      </c>
      <c r="H598" s="19" t="str">
        <f>IFERROR(__xludf.DUMMYFUNCTION("""COMPUTED_VALUE"""),"MT")</f>
        <v>MT</v>
      </c>
      <c r="I598" s="19" t="str">
        <f>IFERROR(__xludf.DUMMYFUNCTION("""COMPUTED_VALUE"""),"Entregada")</f>
        <v>Entregada</v>
      </c>
      <c r="J598" s="20">
        <f>IFERROR(__xludf.DUMMYFUNCTION("""COMPUTED_VALUE"""),44636.0)</f>
        <v>44636</v>
      </c>
      <c r="K598" s="19" t="str">
        <f>IFERROR(__xludf.DUMMYFUNCTION("""COMPUTED_VALUE"""),"Entregada")</f>
        <v>Entregada</v>
      </c>
      <c r="L598" s="20">
        <f>IFERROR(__xludf.DUMMYFUNCTION("""COMPUTED_VALUE"""),44641.0)</f>
        <v>44641</v>
      </c>
      <c r="M598" s="19" t="str">
        <f>IFERROR(__xludf.DUMMYFUNCTION("""COMPUTED_VALUE"""),"PCM")</f>
        <v>PCM</v>
      </c>
      <c r="N598" s="19" t="str">
        <f>IFERROR(__xludf.DUMMYFUNCTION("""COMPUTED_VALUE"""),"PRIORIDAD 1 Q3 2023 OCTUBRE")</f>
        <v>PRIORIDAD 1 Q3 2023 OCTUBRE</v>
      </c>
    </row>
    <row r="599" ht="15.75" customHeight="1">
      <c r="A599" s="19" t="str">
        <f>IFERROR(__xludf.DUMMYFUNCTION("""COMPUTED_VALUE"""),"AB_9679")</f>
        <v>AB_9679</v>
      </c>
      <c r="B599" s="19" t="str">
        <f>IFERROR(__xludf.DUMMYFUNCTION("""COMPUTED_VALUE"""),"AB_9679_B")</f>
        <v>AB_9679_B</v>
      </c>
      <c r="C599" s="19" t="str">
        <f>IFERROR(__xludf.DUMMYFUNCTION("""COMPUTED_VALUE"""),"MA9679")</f>
        <v>MA9679</v>
      </c>
      <c r="D599" s="19" t="str">
        <f>IFERROR(__xludf.DUMMYFUNCTION("""COMPUTED_VALUE"""),"Cuñao")</f>
        <v>Cuñao</v>
      </c>
      <c r="E599" s="19" t="str">
        <f>IFERROR(__xludf.DUMMYFUNCTION("""COMPUTED_VALUE"""),"SITIO RFI")</f>
        <v>SITIO RFI</v>
      </c>
      <c r="F599" s="19" t="str">
        <f>IFERROR(__xludf.DUMMYFUNCTION("""COMPUTED_VALUE"""),"RFI")</f>
        <v>RFI</v>
      </c>
      <c r="G599" s="19" t="str">
        <f>IFERROR(__xludf.DUMMYFUNCTION("""COMPUTED_VALUE"""),"AS60")</f>
        <v>AS60</v>
      </c>
      <c r="H599" s="19" t="str">
        <f>IFERROR(__xludf.DUMMYFUNCTION("""COMPUTED_VALUE"""),"MER")</f>
        <v>MER</v>
      </c>
      <c r="I599" s="19" t="str">
        <f>IFERROR(__xludf.DUMMYFUNCTION("""COMPUTED_VALUE"""),"Entregada")</f>
        <v>Entregada</v>
      </c>
      <c r="J599" s="20">
        <f>IFERROR(__xludf.DUMMYFUNCTION("""COMPUTED_VALUE"""),44722.0)</f>
        <v>44722</v>
      </c>
      <c r="K599" s="19" t="str">
        <f>IFERROR(__xludf.DUMMYFUNCTION("""COMPUTED_VALUE"""),"Entregada")</f>
        <v>Entregada</v>
      </c>
      <c r="L599" s="20">
        <f>IFERROR(__xludf.DUMMYFUNCTION("""COMPUTED_VALUE"""),44743.0)</f>
        <v>44743</v>
      </c>
      <c r="M599" s="19" t="str">
        <f>IFERROR(__xludf.DUMMYFUNCTION("""COMPUTED_VALUE"""),"LLOO")</f>
        <v>LLOO</v>
      </c>
      <c r="N599" s="19" t="str">
        <f>IFERROR(__xludf.DUMMYFUNCTION("""COMPUTED_VALUE"""),"PRIORIDAD 1 Q3 2023 OCTUBRE")</f>
        <v>PRIORIDAD 1 Q3 2023 OCTUBRE</v>
      </c>
    </row>
    <row r="600" ht="15.75" customHeight="1">
      <c r="A600" s="19" t="str">
        <f>IFERROR(__xludf.DUMMYFUNCTION("""COMPUTED_VALUE"""),"AB_9682")</f>
        <v>AB_9682</v>
      </c>
      <c r="B600" s="19" t="str">
        <f>IFERROR(__xludf.DUMMYFUNCTION("""COMPUTED_VALUE"""),"AB_9682_A")</f>
        <v>AB_9682_A</v>
      </c>
      <c r="C600" s="19" t="str">
        <f>IFERROR(__xludf.DUMMYFUNCTION("""COMPUTED_VALUE"""),"MA9682")</f>
        <v>MA9682</v>
      </c>
      <c r="D600" s="19" t="str">
        <f>IFERROR(__xludf.DUMMYFUNCTION("""COMPUTED_VALUE"""),"Hulliborgoa")</f>
        <v>Hulliborgoa</v>
      </c>
      <c r="E600" s="19" t="str">
        <f>IFERROR(__xludf.DUMMYFUNCTION("""COMPUTED_VALUE"""),"SITIO RFI")</f>
        <v>SITIO RFI</v>
      </c>
      <c r="F600" s="19" t="str">
        <f>IFERROR(__xludf.DUMMYFUNCTION("""COMPUTED_VALUE"""),"RFI")</f>
        <v>RFI</v>
      </c>
      <c r="G600" s="19" t="str">
        <f>IFERROR(__xludf.DUMMYFUNCTION("""COMPUTED_VALUE"""),"CV36")</f>
        <v>CV36</v>
      </c>
      <c r="H600" s="19" t="str">
        <f>IFERROR(__xludf.DUMMYFUNCTION("""COMPUTED_VALUE"""),"ADM")</f>
        <v>ADM</v>
      </c>
      <c r="I600" s="19" t="str">
        <f>IFERROR(__xludf.DUMMYFUNCTION("""COMPUTED_VALUE"""),"Entregada")</f>
        <v>Entregada</v>
      </c>
      <c r="J600" s="20">
        <f>IFERROR(__xludf.DUMMYFUNCTION("""COMPUTED_VALUE"""),44743.0)</f>
        <v>44743</v>
      </c>
      <c r="K600" s="19" t="str">
        <f>IFERROR(__xludf.DUMMYFUNCTION("""COMPUTED_VALUE"""),"Entregada")</f>
        <v>Entregada</v>
      </c>
      <c r="L600" s="20">
        <f>IFERROR(__xludf.DUMMYFUNCTION("""COMPUTED_VALUE"""),44757.0)</f>
        <v>44757</v>
      </c>
      <c r="M600" s="19" t="str">
        <f>IFERROR(__xludf.DUMMYFUNCTION("""COMPUTED_VALUE"""),"LLOO")</f>
        <v>LLOO</v>
      </c>
      <c r="N600" s="19" t="str">
        <f>IFERROR(__xludf.DUMMYFUNCTION("""COMPUTED_VALUE"""),"PRIORIDAD 1 Q3 2023 OCTUBRE")</f>
        <v>PRIORIDAD 1 Q3 2023 OCTUBRE</v>
      </c>
    </row>
    <row r="601" ht="15.75" customHeight="1">
      <c r="A601" s="19" t="str">
        <f>IFERROR(__xludf.DUMMYFUNCTION("""COMPUTED_VALUE"""),"AB_9686")</f>
        <v>AB_9686</v>
      </c>
      <c r="B601" s="19" t="str">
        <f>IFERROR(__xludf.DUMMYFUNCTION("""COMPUTED_VALUE"""),"AB_9686_E")</f>
        <v>AB_9686_E</v>
      </c>
      <c r="C601" s="19" t="str">
        <f>IFERROR(__xludf.DUMMYFUNCTION("""COMPUTED_VALUE"""),"MA9686")</f>
        <v>MA9686</v>
      </c>
      <c r="D601" s="19" t="str">
        <f>IFERROR(__xludf.DUMMYFUNCTION("""COMPUTED_VALUE"""),"Rincon de Mellado")</f>
        <v>Rincon de Mellado</v>
      </c>
      <c r="E601" s="19" t="str">
        <f>IFERROR(__xludf.DUMMYFUNCTION("""COMPUTED_VALUE"""),"SITIO RFI")</f>
        <v>SITIO RFI</v>
      </c>
      <c r="F601" s="19" t="str">
        <f>IFERROR(__xludf.DUMMYFUNCTION("""COMPUTED_VALUE"""),"RFI")</f>
        <v>RFI</v>
      </c>
      <c r="G601" s="19" t="str">
        <f>IFERROR(__xludf.DUMMYFUNCTION("""COMPUTED_VALUE"""),"CV60")</f>
        <v>CV60</v>
      </c>
      <c r="H601" s="19" t="str">
        <f>IFERROR(__xludf.DUMMYFUNCTION("""COMPUTED_VALUE"""),"DEPROMET")</f>
        <v>DEPROMET</v>
      </c>
      <c r="I601" s="19" t="str">
        <f>IFERROR(__xludf.DUMMYFUNCTION("""COMPUTED_VALUE"""),"Entregada")</f>
        <v>Entregada</v>
      </c>
      <c r="J601" s="20">
        <f>IFERROR(__xludf.DUMMYFUNCTION("""COMPUTED_VALUE"""),44886.0)</f>
        <v>44886</v>
      </c>
      <c r="K601" s="19" t="str">
        <f>IFERROR(__xludf.DUMMYFUNCTION("""COMPUTED_VALUE"""),"Entregada")</f>
        <v>Entregada</v>
      </c>
      <c r="L601" s="20">
        <f>IFERROR(__xludf.DUMMYFUNCTION("""COMPUTED_VALUE"""),44911.0)</f>
        <v>44911</v>
      </c>
      <c r="M601" s="19" t="str">
        <f>IFERROR(__xludf.DUMMYFUNCTION("""COMPUTED_VALUE"""),"LLOO")</f>
        <v>LLOO</v>
      </c>
      <c r="N601" s="19" t="str">
        <f>IFERROR(__xludf.DUMMYFUNCTION("""COMPUTED_VALUE"""),"PRIORIDAD 1 Q3 2023 OCTUBRE")</f>
        <v>PRIORIDAD 1 Q3 2023 OCTUBRE</v>
      </c>
    </row>
    <row r="602" ht="15.75" customHeight="1">
      <c r="A602" s="19" t="str">
        <f>IFERROR(__xludf.DUMMYFUNCTION("""COMPUTED_VALUE"""),"AB_9690")</f>
        <v>AB_9690</v>
      </c>
      <c r="B602" s="19" t="str">
        <f>IFERROR(__xludf.DUMMYFUNCTION("""COMPUTED_VALUE"""),"AB_9690_D")</f>
        <v>AB_9690_D</v>
      </c>
      <c r="C602" s="19" t="str">
        <f>IFERROR(__xludf.DUMMYFUNCTION("""COMPUTED_VALUE"""),"MA9690")</f>
        <v>MA9690</v>
      </c>
      <c r="D602" s="19" t="str">
        <f>IFERROR(__xludf.DUMMYFUNCTION("""COMPUTED_VALUE"""),"Los Copihues Longavi")</f>
        <v>Los Copihues Longavi</v>
      </c>
      <c r="E602" s="19" t="str">
        <f>IFERROR(__xludf.DUMMYFUNCTION("""COMPUTED_VALUE"""),"SITIO RFI")</f>
        <v>SITIO RFI</v>
      </c>
      <c r="F602" s="19" t="str">
        <f>IFERROR(__xludf.DUMMYFUNCTION("""COMPUTED_VALUE"""),"RFI")</f>
        <v>RFI</v>
      </c>
      <c r="G602" s="19" t="str">
        <f>IFERROR(__xludf.DUMMYFUNCTION("""COMPUTED_VALUE"""),"CV60")</f>
        <v>CV60</v>
      </c>
      <c r="H602" s="19" t="str">
        <f>IFERROR(__xludf.DUMMYFUNCTION("""COMPUTED_VALUE"""),"DEPROMET")</f>
        <v>DEPROMET</v>
      </c>
      <c r="I602" s="19" t="str">
        <f>IFERROR(__xludf.DUMMYFUNCTION("""COMPUTED_VALUE"""),"Entregada")</f>
        <v>Entregada</v>
      </c>
      <c r="J602" s="20">
        <f>IFERROR(__xludf.DUMMYFUNCTION("""COMPUTED_VALUE"""),44708.0)</f>
        <v>44708</v>
      </c>
      <c r="K602" s="19" t="str">
        <f>IFERROR(__xludf.DUMMYFUNCTION("""COMPUTED_VALUE"""),"Entregada")</f>
        <v>Entregada</v>
      </c>
      <c r="L602" s="20">
        <f>IFERROR(__xludf.DUMMYFUNCTION("""COMPUTED_VALUE"""),44811.0)</f>
        <v>44811</v>
      </c>
      <c r="M602" s="19" t="str">
        <f>IFERROR(__xludf.DUMMYFUNCTION("""COMPUTED_VALUE"""),"LLOO")</f>
        <v>LLOO</v>
      </c>
      <c r="N602" s="19" t="str">
        <f>IFERROR(__xludf.DUMMYFUNCTION("""COMPUTED_VALUE"""),"PRIORIDAD 1 Q3 2023 OCTUBRE")</f>
        <v>PRIORIDAD 1 Q3 2023 OCTUBRE</v>
      </c>
    </row>
    <row r="603" ht="15.75" customHeight="1">
      <c r="A603" s="19" t="str">
        <f>IFERROR(__xludf.DUMMYFUNCTION("""COMPUTED_VALUE"""),"AB_9904")</f>
        <v>AB_9904</v>
      </c>
      <c r="B603" s="19" t="str">
        <f>IFERROR(__xludf.DUMMYFUNCTION("""COMPUTED_VALUE"""),"AB_9904_B")</f>
        <v>AB_9904_B</v>
      </c>
      <c r="C603" s="19" t="str">
        <f>IFERROR(__xludf.DUMMYFUNCTION("""COMPUTED_VALUE"""),"LL9904")</f>
        <v>LL9904</v>
      </c>
      <c r="D603" s="19" t="str">
        <f>IFERROR(__xludf.DUMMYFUNCTION("""COMPUTED_VALUE"""),"LLOO Huelmo")</f>
        <v>LLOO Huelmo</v>
      </c>
      <c r="E603" s="19" t="str">
        <f>IFERROR(__xludf.DUMMYFUNCTION("""COMPUTED_VALUE"""),"SITIO RFI")</f>
        <v>SITIO RFI</v>
      </c>
      <c r="F603" s="19" t="str">
        <f>IFERROR(__xludf.DUMMYFUNCTION("""COMPUTED_VALUE"""),"CIERRE")</f>
        <v>CIERRE</v>
      </c>
      <c r="G603" s="19" t="str">
        <f>IFERROR(__xludf.DUMMYFUNCTION("""COMPUTED_VALUE"""),"CV54")</f>
        <v>CV54</v>
      </c>
      <c r="H603" s="19" t="str">
        <f>IFERROR(__xludf.DUMMYFUNCTION("""COMPUTED_VALUE"""),"DEITEL")</f>
        <v>DEITEL</v>
      </c>
      <c r="I603" s="19" t="str">
        <f>IFERROR(__xludf.DUMMYFUNCTION("""COMPUTED_VALUE"""),"Entregada")</f>
        <v>Entregada</v>
      </c>
      <c r="J603" s="20">
        <f>IFERROR(__xludf.DUMMYFUNCTION("""COMPUTED_VALUE"""),44876.0)</f>
        <v>44876</v>
      </c>
      <c r="K603" s="19" t="str">
        <f>IFERROR(__xludf.DUMMYFUNCTION("""COMPUTED_VALUE"""),"Entregada")</f>
        <v>Entregada</v>
      </c>
      <c r="L603" s="20">
        <f>IFERROR(__xludf.DUMMYFUNCTION("""COMPUTED_VALUE"""),44898.0)</f>
        <v>44898</v>
      </c>
      <c r="M603" s="19" t="str">
        <f>IFERROR(__xludf.DUMMYFUNCTION("""COMPUTED_VALUE"""),"LLOO")</f>
        <v>LLOO</v>
      </c>
      <c r="N603" s="19" t="str">
        <f>IFERROR(__xludf.DUMMYFUNCTION("""COMPUTED_VALUE"""),"PRIORIDAD 1 Q3 2023 OCTUBRE")</f>
        <v>PRIORIDAD 1 Q3 2023 OCTUBRE</v>
      </c>
    </row>
    <row r="604" ht="15.75" customHeight="1">
      <c r="A604" s="19" t="str">
        <f>IFERROR(__xludf.DUMMYFUNCTION("""COMPUTED_VALUE"""),"AB_9909")</f>
        <v>AB_9909</v>
      </c>
      <c r="B604" s="19" t="str">
        <f>IFERROR(__xludf.DUMMYFUNCTION("""COMPUTED_VALUE"""),"AB_9909_A")</f>
        <v>AB_9909_A</v>
      </c>
      <c r="C604" s="19" t="str">
        <f>IFERROR(__xludf.DUMMYFUNCTION("""COMPUTED_VALUE"""),"LL9909")</f>
        <v>LL9909</v>
      </c>
      <c r="D604" s="19" t="str">
        <f>IFERROR(__xludf.DUMMYFUNCTION("""COMPUTED_VALUE"""),"LLOO Chaulinec")</f>
        <v>LLOO Chaulinec</v>
      </c>
      <c r="E604" s="19" t="str">
        <f>IFERROR(__xludf.DUMMYFUNCTION("""COMPUTED_VALUE"""),"SITIO RFI")</f>
        <v>SITIO RFI</v>
      </c>
      <c r="F604" s="19" t="str">
        <f>IFERROR(__xludf.DUMMYFUNCTION("""COMPUTED_VALUE"""),"MONTAJE")</f>
        <v>MONTAJE</v>
      </c>
      <c r="G604" s="19" t="str">
        <f>IFERROR(__xludf.DUMMYFUNCTION("""COMPUTED_VALUE"""),"AS60")</f>
        <v>AS60</v>
      </c>
      <c r="H604" s="19" t="str">
        <f>IFERROR(__xludf.DUMMYFUNCTION("""COMPUTED_VALUE"""),"MER")</f>
        <v>MER</v>
      </c>
      <c r="I604" s="19" t="str">
        <f>IFERROR(__xludf.DUMMYFUNCTION("""COMPUTED_VALUE"""),"Entregada")</f>
        <v>Entregada</v>
      </c>
      <c r="J604" s="20">
        <f>IFERROR(__xludf.DUMMYFUNCTION("""COMPUTED_VALUE"""),44708.0)</f>
        <v>44708</v>
      </c>
      <c r="K604" s="19" t="str">
        <f>IFERROR(__xludf.DUMMYFUNCTION("""COMPUTED_VALUE"""),"Entregada")</f>
        <v>Entregada</v>
      </c>
      <c r="L604" s="20">
        <f>IFERROR(__xludf.DUMMYFUNCTION("""COMPUTED_VALUE"""),44729.0)</f>
        <v>44729</v>
      </c>
      <c r="M604" s="19" t="str">
        <f>IFERROR(__xludf.DUMMYFUNCTION("""COMPUTED_VALUE"""),"PCM_2")</f>
        <v>PCM_2</v>
      </c>
      <c r="N604" s="19" t="str">
        <f>IFERROR(__xludf.DUMMYFUNCTION("""COMPUTED_VALUE"""),"PRIORIDAD 1 Q3 2023 OCTUBRE")</f>
        <v>PRIORIDAD 1 Q3 2023 OCTUBRE</v>
      </c>
    </row>
    <row r="605" ht="15.75" customHeight="1">
      <c r="A605" s="19" t="str">
        <f>IFERROR(__xludf.DUMMYFUNCTION("""COMPUTED_VALUE"""),"AB_9701")</f>
        <v>AB_9701</v>
      </c>
      <c r="B605" s="19" t="str">
        <f>IFERROR(__xludf.DUMMYFUNCTION("""COMPUTED_VALUE"""),"AB_9701_B")</f>
        <v>AB_9701_B</v>
      </c>
      <c r="C605" s="19" t="str">
        <f>IFERROR(__xludf.DUMMYFUNCTION("""COMPUTED_VALUE"""),"MA9701")</f>
        <v>MA9701</v>
      </c>
      <c r="D605" s="19" t="str">
        <f>IFERROR(__xludf.DUMMYFUNCTION("""COMPUTED_VALUE"""),"Picazo Alto")</f>
        <v>Picazo Alto</v>
      </c>
      <c r="E605" s="19" t="str">
        <f>IFERROR(__xludf.DUMMYFUNCTION("""COMPUTED_VALUE"""),"SITIO RFI")</f>
        <v>SITIO RFI</v>
      </c>
      <c r="F605" s="19" t="str">
        <f>IFERROR(__xludf.DUMMYFUNCTION("""COMPUTED_VALUE"""),"RFI")</f>
        <v>RFI</v>
      </c>
      <c r="G605" s="19" t="str">
        <f>IFERROR(__xludf.DUMMYFUNCTION("""COMPUTED_VALUE"""),"AS60")</f>
        <v>AS60</v>
      </c>
      <c r="H605" s="19" t="str">
        <f>IFERROR(__xludf.DUMMYFUNCTION("""COMPUTED_VALUE"""),"ADM")</f>
        <v>ADM</v>
      </c>
      <c r="I605" s="19" t="str">
        <f>IFERROR(__xludf.DUMMYFUNCTION("""COMPUTED_VALUE"""),"Entregada")</f>
        <v>Entregada</v>
      </c>
      <c r="J605" s="20">
        <f>IFERROR(__xludf.DUMMYFUNCTION("""COMPUTED_VALUE"""),44750.0)</f>
        <v>44750</v>
      </c>
      <c r="K605" s="19" t="str">
        <f>IFERROR(__xludf.DUMMYFUNCTION("""COMPUTED_VALUE"""),"Entregada")</f>
        <v>Entregada</v>
      </c>
      <c r="L605" s="20">
        <f>IFERROR(__xludf.DUMMYFUNCTION("""COMPUTED_VALUE"""),44890.0)</f>
        <v>44890</v>
      </c>
      <c r="M605" s="19" t="str">
        <f>IFERROR(__xludf.DUMMYFUNCTION("""COMPUTED_VALUE"""),"LLOO")</f>
        <v>LLOO</v>
      </c>
      <c r="N605" s="19" t="str">
        <f>IFERROR(__xludf.DUMMYFUNCTION("""COMPUTED_VALUE"""),"PRIORIDAD 1 Q3 2023 OCTUBRE")</f>
        <v>PRIORIDAD 1 Q3 2023 OCTUBRE</v>
      </c>
    </row>
    <row r="606" ht="15.75" customHeight="1">
      <c r="A606" s="19" t="str">
        <f>IFERROR(__xludf.DUMMYFUNCTION("""COMPUTED_VALUE"""),"AB_9703")</f>
        <v>AB_9703</v>
      </c>
      <c r="B606" s="19" t="str">
        <f>IFERROR(__xludf.DUMMYFUNCTION("""COMPUTED_VALUE"""),"AB_9703_B")</f>
        <v>AB_9703_B</v>
      </c>
      <c r="C606" s="19" t="str">
        <f>IFERROR(__xludf.DUMMYFUNCTION("""COMPUTED_VALUE"""),"MA9703")</f>
        <v>MA9703</v>
      </c>
      <c r="D606" s="19" t="str">
        <f>IFERROR(__xludf.DUMMYFUNCTION("""COMPUTED_VALUE"""),"Playa La Trinchera")</f>
        <v>Playa La Trinchera</v>
      </c>
      <c r="E606" s="19" t="str">
        <f>IFERROR(__xludf.DUMMYFUNCTION("""COMPUTED_VALUE"""),"SITIO RFI")</f>
        <v>SITIO RFI</v>
      </c>
      <c r="F606" s="19" t="str">
        <f>IFERROR(__xludf.DUMMYFUNCTION("""COMPUTED_VALUE"""),"RFI")</f>
        <v>RFI</v>
      </c>
      <c r="G606" s="19" t="str">
        <f>IFERROR(__xludf.DUMMYFUNCTION("""COMPUTED_VALUE"""),"CV60")</f>
        <v>CV60</v>
      </c>
      <c r="H606" s="19" t="str">
        <f>IFERROR(__xludf.DUMMYFUNCTION("""COMPUTED_VALUE"""),"DEPROMET")</f>
        <v>DEPROMET</v>
      </c>
      <c r="I606" s="19" t="str">
        <f>IFERROR(__xludf.DUMMYFUNCTION("""COMPUTED_VALUE"""),"Entregada")</f>
        <v>Entregada</v>
      </c>
      <c r="J606" s="20">
        <f>IFERROR(__xludf.DUMMYFUNCTION("""COMPUTED_VALUE"""),44839.0)</f>
        <v>44839</v>
      </c>
      <c r="K606" s="19" t="str">
        <f>IFERROR(__xludf.DUMMYFUNCTION("""COMPUTED_VALUE"""),"Entregada")</f>
        <v>Entregada</v>
      </c>
      <c r="L606" s="20">
        <f>IFERROR(__xludf.DUMMYFUNCTION("""COMPUTED_VALUE"""),44861.0)</f>
        <v>44861</v>
      </c>
      <c r="M606" s="19" t="str">
        <f>IFERROR(__xludf.DUMMYFUNCTION("""COMPUTED_VALUE"""),"LLOO")</f>
        <v>LLOO</v>
      </c>
      <c r="N606" s="19" t="str">
        <f>IFERROR(__xludf.DUMMYFUNCTION("""COMPUTED_VALUE"""),"PRIORIDAD 1 Q3 2023 OCTUBRE")</f>
        <v>PRIORIDAD 1 Q3 2023 OCTUBRE</v>
      </c>
    </row>
    <row r="607" ht="15.75" customHeight="1">
      <c r="A607" s="19" t="str">
        <f>IFERROR(__xludf.DUMMYFUNCTION("""COMPUTED_VALUE"""),"AB_9711")</f>
        <v>AB_9711</v>
      </c>
      <c r="B607" s="19" t="str">
        <f>IFERROR(__xludf.DUMMYFUNCTION("""COMPUTED_VALUE"""),"AB_9711_D")</f>
        <v>AB_9711_D</v>
      </c>
      <c r="C607" s="19" t="str">
        <f>IFERROR(__xludf.DUMMYFUNCTION("""COMPUTED_VALUE"""),"MA9711")</f>
        <v>MA9711</v>
      </c>
      <c r="D607" s="19" t="str">
        <f>IFERROR(__xludf.DUMMYFUNCTION("""COMPUTED_VALUE"""),"Ruta L-75 Romeral")</f>
        <v>Ruta L-75 Romeral</v>
      </c>
      <c r="E607" s="19" t="str">
        <f>IFERROR(__xludf.DUMMYFUNCTION("""COMPUTED_VALUE"""),"SITIO RFI")</f>
        <v>SITIO RFI</v>
      </c>
      <c r="F607" s="19" t="str">
        <f>IFERROR(__xludf.DUMMYFUNCTION("""COMPUTED_VALUE"""),"RFI")</f>
        <v>RFI</v>
      </c>
      <c r="G607" s="19" t="str">
        <f>IFERROR(__xludf.DUMMYFUNCTION("""COMPUTED_VALUE"""),"AS48")</f>
        <v>AS48</v>
      </c>
      <c r="H607" s="19" t="str">
        <f>IFERROR(__xludf.DUMMYFUNCTION("""COMPUTED_VALUE"""),"METALING")</f>
        <v>METALING</v>
      </c>
      <c r="I607" s="19" t="str">
        <f>IFERROR(__xludf.DUMMYFUNCTION("""COMPUTED_VALUE"""),"Entregada")</f>
        <v>Entregada</v>
      </c>
      <c r="J607" s="20">
        <f>IFERROR(__xludf.DUMMYFUNCTION("""COMPUTED_VALUE"""),44869.0)</f>
        <v>44869</v>
      </c>
      <c r="K607" s="19" t="str">
        <f>IFERROR(__xludf.DUMMYFUNCTION("""COMPUTED_VALUE"""),"Entregada")</f>
        <v>Entregada</v>
      </c>
      <c r="L607" s="20">
        <f>IFERROR(__xludf.DUMMYFUNCTION("""COMPUTED_VALUE"""),44915.0)</f>
        <v>44915</v>
      </c>
      <c r="M607" s="19" t="str">
        <f>IFERROR(__xludf.DUMMYFUNCTION("""COMPUTED_VALUE"""),"LLOO")</f>
        <v>LLOO</v>
      </c>
      <c r="N607" s="19" t="str">
        <f>IFERROR(__xludf.DUMMYFUNCTION("""COMPUTED_VALUE"""),"PRIORIDAD 1 Q3 2023 OCTUBRE")</f>
        <v>PRIORIDAD 1 Q3 2023 OCTUBRE</v>
      </c>
    </row>
    <row r="608" ht="15.75" customHeight="1">
      <c r="A608" s="19" t="str">
        <f>IFERROR(__xludf.DUMMYFUNCTION("""COMPUTED_VALUE"""),"AB_9719")</f>
        <v>AB_9719</v>
      </c>
      <c r="B608" s="19" t="str">
        <f>IFERROR(__xludf.DUMMYFUNCTION("""COMPUTED_VALUE"""),"AB_9719_B")</f>
        <v>AB_9719_B</v>
      </c>
      <c r="C608" s="19" t="str">
        <f>IFERROR(__xludf.DUMMYFUNCTION("""COMPUTED_VALUE"""),"MA9719")</f>
        <v>MA9719</v>
      </c>
      <c r="D608" s="19" t="str">
        <f>IFERROR(__xludf.DUMMYFUNCTION("""COMPUTED_VALUE"""),"Cerro Name")</f>
        <v>Cerro Name</v>
      </c>
      <c r="E608" s="19" t="str">
        <f>IFERROR(__xludf.DUMMYFUNCTION("""COMPUTED_VALUE"""),"DETENIDO MAYORISTA")</f>
        <v>DETENIDO MAYORISTA</v>
      </c>
      <c r="F608" s="19"/>
      <c r="G608" s="19" t="str">
        <f>IFERROR(__xludf.DUMMYFUNCTION("""COMPUTED_VALUE"""),"AS60")</f>
        <v>AS60</v>
      </c>
      <c r="H608" s="19" t="str">
        <f>IFERROR(__xludf.DUMMYFUNCTION("""COMPUTED_VALUE"""),"COMPRAS")</f>
        <v>COMPRAS</v>
      </c>
      <c r="I608" s="19"/>
      <c r="J608" s="19"/>
      <c r="K608" s="19"/>
      <c r="L608" s="19"/>
      <c r="M608" s="19" t="str">
        <f>IFERROR(__xludf.DUMMYFUNCTION("""COMPUTED_VALUE"""),"PCM")</f>
        <v>PCM</v>
      </c>
      <c r="N608" s="19" t="str">
        <f>IFERROR(__xludf.DUMMYFUNCTION("""COMPUTED_VALUE"""),"PRIORIDAD 3 Q1 2024 MARZO")</f>
        <v>PRIORIDAD 3 Q1 2024 MARZO</v>
      </c>
    </row>
    <row r="609" ht="15.75" customHeight="1">
      <c r="A609" s="19" t="str">
        <f>IFERROR(__xludf.DUMMYFUNCTION("""COMPUTED_VALUE"""),"AB_9721")</f>
        <v>AB_9721</v>
      </c>
      <c r="B609" s="19" t="str">
        <f>IFERROR(__xludf.DUMMYFUNCTION("""COMPUTED_VALUE"""),"AB_9721_C")</f>
        <v>AB_9721_C</v>
      </c>
      <c r="C609" s="19" t="str">
        <f>IFERROR(__xludf.DUMMYFUNCTION("""COMPUTED_VALUE"""),"MA9721")</f>
        <v>MA9721</v>
      </c>
      <c r="D609" s="19" t="str">
        <f>IFERROR(__xludf.DUMMYFUNCTION("""COMPUTED_VALUE"""),"Los Junquillos Licanten")</f>
        <v>Los Junquillos Licanten</v>
      </c>
      <c r="E609" s="19" t="str">
        <f>IFERROR(__xludf.DUMMYFUNCTION("""COMPUTED_VALUE"""),"SITIO RFI")</f>
        <v>SITIO RFI</v>
      </c>
      <c r="F609" s="19" t="str">
        <f>IFERROR(__xludf.DUMMYFUNCTION("""COMPUTED_VALUE"""),"RFI")</f>
        <v>RFI</v>
      </c>
      <c r="G609" s="19" t="str">
        <f>IFERROR(__xludf.DUMMYFUNCTION("""COMPUTED_VALUE"""),"AS60")</f>
        <v>AS60</v>
      </c>
      <c r="H609" s="19" t="str">
        <f>IFERROR(__xludf.DUMMYFUNCTION("""COMPUTED_VALUE"""),"ADM")</f>
        <v>ADM</v>
      </c>
      <c r="I609" s="19" t="str">
        <f>IFERROR(__xludf.DUMMYFUNCTION("""COMPUTED_VALUE"""),"Entregada")</f>
        <v>Entregada</v>
      </c>
      <c r="J609" s="20">
        <f>IFERROR(__xludf.DUMMYFUNCTION("""COMPUTED_VALUE"""),44750.0)</f>
        <v>44750</v>
      </c>
      <c r="K609" s="19" t="str">
        <f>IFERROR(__xludf.DUMMYFUNCTION("""COMPUTED_VALUE"""),"Entregada")</f>
        <v>Entregada</v>
      </c>
      <c r="L609" s="20">
        <f>IFERROR(__xludf.DUMMYFUNCTION("""COMPUTED_VALUE"""),44750.0)</f>
        <v>44750</v>
      </c>
      <c r="M609" s="19" t="str">
        <f>IFERROR(__xludf.DUMMYFUNCTION("""COMPUTED_VALUE"""),"LLOO")</f>
        <v>LLOO</v>
      </c>
      <c r="N609" s="19" t="str">
        <f>IFERROR(__xludf.DUMMYFUNCTION("""COMPUTED_VALUE"""),"PRIORIDAD 1 Q3 2023 OCTUBRE")</f>
        <v>PRIORIDAD 1 Q3 2023 OCTUBRE</v>
      </c>
    </row>
    <row r="610" ht="15.75" customHeight="1">
      <c r="A610" s="19" t="str">
        <f>IFERROR(__xludf.DUMMYFUNCTION("""COMPUTED_VALUE"""),"AB_9724")</f>
        <v>AB_9724</v>
      </c>
      <c r="B610" s="19" t="str">
        <f>IFERROR(__xludf.DUMMYFUNCTION("""COMPUTED_VALUE"""),"AB_9724_B")</f>
        <v>AB_9724_B</v>
      </c>
      <c r="C610" s="19" t="str">
        <f>IFERROR(__xludf.DUMMYFUNCTION("""COMPUTED_VALUE"""),"MA9724")</f>
        <v>MA9724</v>
      </c>
      <c r="D610" s="19" t="str">
        <f>IFERROR(__xludf.DUMMYFUNCTION("""COMPUTED_VALUE"""),"Llankanao Linares")</f>
        <v>Llankanao Linares</v>
      </c>
      <c r="E610" s="19" t="str">
        <f>IFERROR(__xludf.DUMMYFUNCTION("""COMPUTED_VALUE"""),"SITIO RFI")</f>
        <v>SITIO RFI</v>
      </c>
      <c r="F610" s="19" t="str">
        <f>IFERROR(__xludf.DUMMYFUNCTION("""COMPUTED_VALUE"""),"RFI")</f>
        <v>RFI</v>
      </c>
      <c r="G610" s="19" t="str">
        <f>IFERROR(__xludf.DUMMYFUNCTION("""COMPUTED_VALUE"""),"AS48")</f>
        <v>AS48</v>
      </c>
      <c r="H610" s="19" t="str">
        <f>IFERROR(__xludf.DUMMYFUNCTION("""COMPUTED_VALUE"""),"ADM")</f>
        <v>ADM</v>
      </c>
      <c r="I610" s="19" t="str">
        <f>IFERROR(__xludf.DUMMYFUNCTION("""COMPUTED_VALUE"""),"Entregada")</f>
        <v>Entregada</v>
      </c>
      <c r="J610" s="20">
        <f>IFERROR(__xludf.DUMMYFUNCTION("""COMPUTED_VALUE"""),44750.0)</f>
        <v>44750</v>
      </c>
      <c r="K610" s="19" t="str">
        <f>IFERROR(__xludf.DUMMYFUNCTION("""COMPUTED_VALUE"""),"Entregada")</f>
        <v>Entregada</v>
      </c>
      <c r="L610" s="20">
        <f>IFERROR(__xludf.DUMMYFUNCTION("""COMPUTED_VALUE"""),44785.0)</f>
        <v>44785</v>
      </c>
      <c r="M610" s="19" t="str">
        <f>IFERROR(__xludf.DUMMYFUNCTION("""COMPUTED_VALUE"""),"LLOO")</f>
        <v>LLOO</v>
      </c>
      <c r="N610" s="19" t="str">
        <f>IFERROR(__xludf.DUMMYFUNCTION("""COMPUTED_VALUE"""),"PRIORIDAD 1 Q3 2023 OCTUBRE")</f>
        <v>PRIORIDAD 1 Q3 2023 OCTUBRE</v>
      </c>
    </row>
    <row r="611" ht="15.75" customHeight="1">
      <c r="A611" s="19" t="str">
        <f>IFERROR(__xludf.DUMMYFUNCTION("""COMPUTED_VALUE"""),"AB_9910")</f>
        <v>AB_9910</v>
      </c>
      <c r="B611" s="19" t="str">
        <f>IFERROR(__xludf.DUMMYFUNCTION("""COMPUTED_VALUE"""),"AB_9910_C")</f>
        <v>AB_9910_C</v>
      </c>
      <c r="C611" s="19" t="str">
        <f>IFERROR(__xludf.DUMMYFUNCTION("""COMPUTED_VALUE"""),"LL9910")</f>
        <v>LL9910</v>
      </c>
      <c r="D611" s="19" t="str">
        <f>IFERROR(__xludf.DUMMYFUNCTION("""COMPUTED_VALUE"""),"LLOO Ayacara")</f>
        <v>LLOO Ayacara</v>
      </c>
      <c r="E611" s="19" t="str">
        <f>IFERROR(__xludf.DUMMYFUNCTION("""COMPUTED_VALUE"""),"SITIO CONSTRUIDO")</f>
        <v>SITIO CONSTRUIDO</v>
      </c>
      <c r="F611" s="19" t="str">
        <f>IFERROR(__xludf.DUMMYFUNCTION("""COMPUTED_VALUE"""),"ENFIERRADURA")</f>
        <v>ENFIERRADURA</v>
      </c>
      <c r="G611" s="19" t="str">
        <f>IFERROR(__xludf.DUMMYFUNCTION("""COMPUTED_VALUE"""),"AS24")</f>
        <v>AS24</v>
      </c>
      <c r="H611" s="19" t="str">
        <f>IFERROR(__xludf.DUMMYFUNCTION("""COMPUTED_VALUE"""),"AJ")</f>
        <v>AJ</v>
      </c>
      <c r="I611" s="19" t="str">
        <f>IFERROR(__xludf.DUMMYFUNCTION("""COMPUTED_VALUE"""),"Terminada")</f>
        <v>Terminada</v>
      </c>
      <c r="J611" s="20">
        <f>IFERROR(__xludf.DUMMYFUNCTION("""COMPUTED_VALUE"""),44697.0)</f>
        <v>44697</v>
      </c>
      <c r="K611" s="19" t="str">
        <f>IFERROR(__xludf.DUMMYFUNCTION("""COMPUTED_VALUE"""),"Por pintar ")</f>
        <v>Por pintar </v>
      </c>
      <c r="L611" s="20">
        <f>IFERROR(__xludf.DUMMYFUNCTION("""COMPUTED_VALUE"""),44848.0)</f>
        <v>44848</v>
      </c>
      <c r="M611" s="19" t="str">
        <f>IFERROR(__xludf.DUMMYFUNCTION("""COMPUTED_VALUE"""),"LLOO")</f>
        <v>LLOO</v>
      </c>
      <c r="N611" s="19" t="str">
        <f>IFERROR(__xludf.DUMMYFUNCTION("""COMPUTED_VALUE"""),"PRIORIDAD 1 Q3 2023 OCTUBRE")</f>
        <v>PRIORIDAD 1 Q3 2023 OCTUBRE</v>
      </c>
    </row>
    <row r="612" ht="15.75" customHeight="1">
      <c r="A612" s="19" t="str">
        <f>IFERROR(__xludf.DUMMYFUNCTION("""COMPUTED_VALUE"""),"AB_9730")</f>
        <v>AB_9730</v>
      </c>
      <c r="B612" s="19" t="str">
        <f>IFERROR(__xludf.DUMMYFUNCTION("""COMPUTED_VALUE"""),"AB_9730_D")</f>
        <v>AB_9730_D</v>
      </c>
      <c r="C612" s="19" t="str">
        <f>IFERROR(__xludf.DUMMYFUNCTION("""COMPUTED_VALUE"""),"MA9730")</f>
        <v>MA9730</v>
      </c>
      <c r="D612" s="19" t="str">
        <f>IFERROR(__xludf.DUMMYFUNCTION("""COMPUTED_VALUE"""),"Los Sauces Hualañe")</f>
        <v>Los Sauces Hualañe</v>
      </c>
      <c r="E612" s="19" t="str">
        <f>IFERROR(__xludf.DUMMYFUNCTION("""COMPUTED_VALUE"""),"SITIO RFI")</f>
        <v>SITIO RFI</v>
      </c>
      <c r="F612" s="19" t="str">
        <f>IFERROR(__xludf.DUMMYFUNCTION("""COMPUTED_VALUE"""),"RFI")</f>
        <v>RFI</v>
      </c>
      <c r="G612" s="19" t="str">
        <f>IFERROR(__xludf.DUMMYFUNCTION("""COMPUTED_VALUE"""),"CV60")</f>
        <v>CV60</v>
      </c>
      <c r="H612" s="19" t="str">
        <f>IFERROR(__xludf.DUMMYFUNCTION("""COMPUTED_VALUE"""),"AJ")</f>
        <v>AJ</v>
      </c>
      <c r="I612" s="19" t="str">
        <f>IFERROR(__xludf.DUMMYFUNCTION("""COMPUTED_VALUE"""),"Entregada")</f>
        <v>Entregada</v>
      </c>
      <c r="J612" s="20">
        <f>IFERROR(__xludf.DUMMYFUNCTION("""COMPUTED_VALUE"""),44732.0)</f>
        <v>44732</v>
      </c>
      <c r="K612" s="19" t="str">
        <f>IFERROR(__xludf.DUMMYFUNCTION("""COMPUTED_VALUE"""),"Entregada")</f>
        <v>Entregada</v>
      </c>
      <c r="L612" s="20">
        <f>IFERROR(__xludf.DUMMYFUNCTION("""COMPUTED_VALUE"""),44847.0)</f>
        <v>44847</v>
      </c>
      <c r="M612" s="19" t="str">
        <f>IFERROR(__xludf.DUMMYFUNCTION("""COMPUTED_VALUE"""),"PCM")</f>
        <v>PCM</v>
      </c>
      <c r="N612" s="19" t="str">
        <f>IFERROR(__xludf.DUMMYFUNCTION("""COMPUTED_VALUE"""),"PRIORIDAD 1 Q3 2023 OCTUBRE")</f>
        <v>PRIORIDAD 1 Q3 2023 OCTUBRE</v>
      </c>
    </row>
    <row r="613" ht="15.75" customHeight="1">
      <c r="A613" s="19" t="str">
        <f>IFERROR(__xludf.DUMMYFUNCTION("""COMPUTED_VALUE"""),"AB_9915")</f>
        <v>AB_9915</v>
      </c>
      <c r="B613" s="19" t="str">
        <f>IFERROR(__xludf.DUMMYFUNCTION("""COMPUTED_VALUE"""),"AB_9915_H")</f>
        <v>AB_9915_H</v>
      </c>
      <c r="C613" s="19" t="str">
        <f>IFERROR(__xludf.DUMMYFUNCTION("""COMPUTED_VALUE"""),"LL9915")</f>
        <v>LL9915</v>
      </c>
      <c r="D613" s="19" t="str">
        <f>IFERROR(__xludf.DUMMYFUNCTION("""COMPUTED_VALUE"""),"LLOO Colonia Tres Puentes")</f>
        <v>LLOO Colonia Tres Puentes</v>
      </c>
      <c r="E613" s="19" t="str">
        <f>IFERROR(__xludf.DUMMYFUNCTION("""COMPUTED_VALUE"""),"SITIO RFI")</f>
        <v>SITIO RFI</v>
      </c>
      <c r="F613" s="19" t="str">
        <f>IFERROR(__xludf.DUMMYFUNCTION("""COMPUTED_VALUE"""),"RFI")</f>
        <v>RFI</v>
      </c>
      <c r="G613" s="19" t="str">
        <f>IFERROR(__xludf.DUMMYFUNCTION("""COMPUTED_VALUE"""),"AS36")</f>
        <v>AS36</v>
      </c>
      <c r="H613" s="19" t="str">
        <f>IFERROR(__xludf.DUMMYFUNCTION("""COMPUTED_VALUE"""),"JTI")</f>
        <v>JTI</v>
      </c>
      <c r="I613" s="19" t="str">
        <f>IFERROR(__xludf.DUMMYFUNCTION("""COMPUTED_VALUE"""),"Entregada")</f>
        <v>Entregada</v>
      </c>
      <c r="J613" s="20">
        <f>IFERROR(__xludf.DUMMYFUNCTION("""COMPUTED_VALUE"""),45034.0)</f>
        <v>45034</v>
      </c>
      <c r="K613" s="19" t="str">
        <f>IFERROR(__xludf.DUMMYFUNCTION("""COMPUTED_VALUE"""),"Entregada")</f>
        <v>Entregada</v>
      </c>
      <c r="L613" s="20">
        <f>IFERROR(__xludf.DUMMYFUNCTION("""COMPUTED_VALUE"""),45044.0)</f>
        <v>45044</v>
      </c>
      <c r="M613" s="19" t="str">
        <f>IFERROR(__xludf.DUMMYFUNCTION("""COMPUTED_VALUE"""),"LLOO")</f>
        <v>LLOO</v>
      </c>
      <c r="N613" s="19" t="str">
        <f>IFERROR(__xludf.DUMMYFUNCTION("""COMPUTED_VALUE"""),"PRIORIDAD 1 Q3 2023 OCTUBRE")</f>
        <v>PRIORIDAD 1 Q3 2023 OCTUBRE</v>
      </c>
    </row>
    <row r="614" ht="15.75" customHeight="1">
      <c r="A614" s="19" t="str">
        <f>IFERROR(__xludf.DUMMYFUNCTION("""COMPUTED_VALUE"""),"AB_9736")</f>
        <v>AB_9736</v>
      </c>
      <c r="B614" s="19" t="str">
        <f>IFERROR(__xludf.DUMMYFUNCTION("""COMPUTED_VALUE"""),"AB_9736_E")</f>
        <v>AB_9736_E</v>
      </c>
      <c r="C614" s="19" t="str">
        <f>IFERROR(__xludf.DUMMYFUNCTION("""COMPUTED_VALUE"""),"MA9736")</f>
        <v>MA9736</v>
      </c>
      <c r="D614" s="19" t="str">
        <f>IFERROR(__xludf.DUMMYFUNCTION("""COMPUTED_VALUE"""),"La Valdesina Molina")</f>
        <v>La Valdesina Molina</v>
      </c>
      <c r="E614" s="19" t="str">
        <f>IFERROR(__xludf.DUMMYFUNCTION("""COMPUTED_VALUE"""),"SITIO RFI")</f>
        <v>SITIO RFI</v>
      </c>
      <c r="F614" s="19" t="str">
        <f>IFERROR(__xludf.DUMMYFUNCTION("""COMPUTED_VALUE"""),"RFI")</f>
        <v>RFI</v>
      </c>
      <c r="G614" s="19" t="str">
        <f>IFERROR(__xludf.DUMMYFUNCTION("""COMPUTED_VALUE"""),"CV60")</f>
        <v>CV60</v>
      </c>
      <c r="H614" s="19" t="str">
        <f>IFERROR(__xludf.DUMMYFUNCTION("""COMPUTED_VALUE"""),"DEPROMET")</f>
        <v>DEPROMET</v>
      </c>
      <c r="I614" s="19" t="str">
        <f>IFERROR(__xludf.DUMMYFUNCTION("""COMPUTED_VALUE"""),"Entregada")</f>
        <v>Entregada</v>
      </c>
      <c r="J614" s="20">
        <f>IFERROR(__xludf.DUMMYFUNCTION("""COMPUTED_VALUE"""),44839.0)</f>
        <v>44839</v>
      </c>
      <c r="K614" s="19" t="str">
        <f>IFERROR(__xludf.DUMMYFUNCTION("""COMPUTED_VALUE"""),"Entregada")</f>
        <v>Entregada</v>
      </c>
      <c r="L614" s="20">
        <f>IFERROR(__xludf.DUMMYFUNCTION("""COMPUTED_VALUE"""),44861.0)</f>
        <v>44861</v>
      </c>
      <c r="M614" s="19" t="str">
        <f>IFERROR(__xludf.DUMMYFUNCTION("""COMPUTED_VALUE"""),"LLOO")</f>
        <v>LLOO</v>
      </c>
      <c r="N614" s="19" t="str">
        <f>IFERROR(__xludf.DUMMYFUNCTION("""COMPUTED_VALUE"""),"PRIORIDAD 1 Q3 2023 OCTUBRE")</f>
        <v>PRIORIDAD 1 Q3 2023 OCTUBRE</v>
      </c>
    </row>
    <row r="615" ht="15.75" customHeight="1">
      <c r="A615" s="19" t="str">
        <f>IFERROR(__xludf.DUMMYFUNCTION("""COMPUTED_VALUE"""),"AB_9738")</f>
        <v>AB_9738</v>
      </c>
      <c r="B615" s="19" t="str">
        <f>IFERROR(__xludf.DUMMYFUNCTION("""COMPUTED_VALUE"""),"AB_9738_A")</f>
        <v>AB_9738_A</v>
      </c>
      <c r="C615" s="19" t="str">
        <f>IFERROR(__xludf.DUMMYFUNCTION("""COMPUTED_VALUE"""),"MA9738")</f>
        <v>MA9738</v>
      </c>
      <c r="D615" s="19" t="str">
        <f>IFERROR(__xludf.DUMMYFUNCTION("""COMPUTED_VALUE"""),"Curipeumo")</f>
        <v>Curipeumo</v>
      </c>
      <c r="E615" s="19" t="str">
        <f>IFERROR(__xludf.DUMMYFUNCTION("""COMPUTED_VALUE"""),"SITIO RFI")</f>
        <v>SITIO RFI</v>
      </c>
      <c r="F615" s="19" t="str">
        <f>IFERROR(__xludf.DUMMYFUNCTION("""COMPUTED_VALUE"""),"RFI")</f>
        <v>RFI</v>
      </c>
      <c r="G615" s="19" t="str">
        <f>IFERROR(__xludf.DUMMYFUNCTION("""COMPUTED_VALUE"""),"AS48")</f>
        <v>AS48</v>
      </c>
      <c r="H615" s="19" t="str">
        <f>IFERROR(__xludf.DUMMYFUNCTION("""COMPUTED_VALUE"""),"ADM")</f>
        <v>ADM</v>
      </c>
      <c r="I615" s="19" t="str">
        <f>IFERROR(__xludf.DUMMYFUNCTION("""COMPUTED_VALUE"""),"Entregada")</f>
        <v>Entregada</v>
      </c>
      <c r="J615" s="20">
        <f>IFERROR(__xludf.DUMMYFUNCTION("""COMPUTED_VALUE"""),44750.0)</f>
        <v>44750</v>
      </c>
      <c r="K615" s="19" t="str">
        <f>IFERROR(__xludf.DUMMYFUNCTION("""COMPUTED_VALUE"""),"Entregada")</f>
        <v>Entregada</v>
      </c>
      <c r="L615" s="20">
        <f>IFERROR(__xludf.DUMMYFUNCTION("""COMPUTED_VALUE"""),44785.0)</f>
        <v>44785</v>
      </c>
      <c r="M615" s="19" t="str">
        <f>IFERROR(__xludf.DUMMYFUNCTION("""COMPUTED_VALUE"""),"LLOO")</f>
        <v>LLOO</v>
      </c>
      <c r="N615" s="19" t="str">
        <f>IFERROR(__xludf.DUMMYFUNCTION("""COMPUTED_VALUE"""),"PRIORIDAD 1 Q3 2023 OCTUBRE")</f>
        <v>PRIORIDAD 1 Q3 2023 OCTUBRE</v>
      </c>
    </row>
    <row r="616" ht="15.75" customHeight="1">
      <c r="A616" s="19" t="str">
        <f>IFERROR(__xludf.DUMMYFUNCTION("""COMPUTED_VALUE"""),"AB_9741")</f>
        <v>AB_9741</v>
      </c>
      <c r="B616" s="19" t="str">
        <f>IFERROR(__xludf.DUMMYFUNCTION("""COMPUTED_VALUE"""),"AB_9741_N")</f>
        <v>AB_9741_N</v>
      </c>
      <c r="C616" s="19" t="str">
        <f>IFERROR(__xludf.DUMMYFUNCTION("""COMPUTED_VALUE"""),"MA9741")</f>
        <v>MA9741</v>
      </c>
      <c r="D616" s="19" t="str">
        <f>IFERROR(__xludf.DUMMYFUNCTION("""COMPUTED_VALUE"""),"La Buitrera")</f>
        <v>La Buitrera</v>
      </c>
      <c r="E616" s="19" t="str">
        <f>IFERROR(__xludf.DUMMYFUNCTION("""COMPUTED_VALUE"""),"SITIO RFI")</f>
        <v>SITIO RFI</v>
      </c>
      <c r="F616" s="19" t="str">
        <f>IFERROR(__xludf.DUMMYFUNCTION("""COMPUTED_VALUE"""),"RFI")</f>
        <v>RFI</v>
      </c>
      <c r="G616" s="19" t="str">
        <f>IFERROR(__xludf.DUMMYFUNCTION("""COMPUTED_VALUE"""),"CV72")</f>
        <v>CV72</v>
      </c>
      <c r="H616" s="19" t="str">
        <f>IFERROR(__xludf.DUMMYFUNCTION("""COMPUTED_VALUE"""),"DEITEL")</f>
        <v>DEITEL</v>
      </c>
      <c r="I616" s="19" t="str">
        <f>IFERROR(__xludf.DUMMYFUNCTION("""COMPUTED_VALUE"""),"Entregada")</f>
        <v>Entregada</v>
      </c>
      <c r="J616" s="20">
        <f>IFERROR(__xludf.DUMMYFUNCTION("""COMPUTED_VALUE"""),44890.0)</f>
        <v>44890</v>
      </c>
      <c r="K616" s="19" t="str">
        <f>IFERROR(__xludf.DUMMYFUNCTION("""COMPUTED_VALUE"""),"Entregada")</f>
        <v>Entregada</v>
      </c>
      <c r="L616" s="20">
        <f>IFERROR(__xludf.DUMMYFUNCTION("""COMPUTED_VALUE"""),44969.0)</f>
        <v>44969</v>
      </c>
      <c r="M616" s="19" t="str">
        <f>IFERROR(__xludf.DUMMYFUNCTION("""COMPUTED_VALUE"""),"LLOO")</f>
        <v>LLOO</v>
      </c>
      <c r="N616" s="19" t="str">
        <f>IFERROR(__xludf.DUMMYFUNCTION("""COMPUTED_VALUE"""),"PRIORIDAD 1 Q3 2023 OCTUBRE")</f>
        <v>PRIORIDAD 1 Q3 2023 OCTUBRE</v>
      </c>
    </row>
    <row r="617" ht="15.75" customHeight="1">
      <c r="A617" s="19" t="str">
        <f>IFERROR(__xludf.DUMMYFUNCTION("""COMPUTED_VALUE"""),"AB_9749")</f>
        <v>AB_9749</v>
      </c>
      <c r="B617" s="19" t="str">
        <f>IFERROR(__xludf.DUMMYFUNCTION("""COMPUTED_VALUE"""),"AB_9749_B")</f>
        <v>AB_9749_B</v>
      </c>
      <c r="C617" s="19" t="str">
        <f>IFERROR(__xludf.DUMMYFUNCTION("""COMPUTED_VALUE"""),"MA9749")</f>
        <v>MA9749</v>
      </c>
      <c r="D617" s="19" t="str">
        <f>IFERROR(__xludf.DUMMYFUNCTION("""COMPUTED_VALUE"""),"Quillaimo")</f>
        <v>Quillaimo</v>
      </c>
      <c r="E617" s="19" t="str">
        <f>IFERROR(__xludf.DUMMYFUNCTION("""COMPUTED_VALUE"""),"SITIO RFI")</f>
        <v>SITIO RFI</v>
      </c>
      <c r="F617" s="19" t="str">
        <f>IFERROR(__xludf.DUMMYFUNCTION("""COMPUTED_VALUE"""),"RFI")</f>
        <v>RFI</v>
      </c>
      <c r="G617" s="19" t="str">
        <f>IFERROR(__xludf.DUMMYFUNCTION("""COMPUTED_VALUE"""),"AS24")</f>
        <v>AS24</v>
      </c>
      <c r="H617" s="19" t="str">
        <f>IFERROR(__xludf.DUMMYFUNCTION("""COMPUTED_VALUE"""),"AJ")</f>
        <v>AJ</v>
      </c>
      <c r="I617" s="19" t="str">
        <f>IFERROR(__xludf.DUMMYFUNCTION("""COMPUTED_VALUE"""),"Entregada")</f>
        <v>Entregada</v>
      </c>
      <c r="J617" s="20">
        <f>IFERROR(__xludf.DUMMYFUNCTION("""COMPUTED_VALUE"""),44697.0)</f>
        <v>44697</v>
      </c>
      <c r="K617" s="19" t="str">
        <f>IFERROR(__xludf.DUMMYFUNCTION("""COMPUTED_VALUE"""),"Entregada")</f>
        <v>Entregada</v>
      </c>
      <c r="L617" s="20">
        <f>IFERROR(__xludf.DUMMYFUNCTION("""COMPUTED_VALUE"""),44872.0)</f>
        <v>44872</v>
      </c>
      <c r="M617" s="19" t="str">
        <f>IFERROR(__xludf.DUMMYFUNCTION("""COMPUTED_VALUE"""),"LLOO")</f>
        <v>LLOO</v>
      </c>
      <c r="N617" s="19" t="str">
        <f>IFERROR(__xludf.DUMMYFUNCTION("""COMPUTED_VALUE"""),"PRIORIDAD 1 Q3 2023 OCTUBRE")</f>
        <v>PRIORIDAD 1 Q3 2023 OCTUBRE</v>
      </c>
    </row>
    <row r="618" ht="15.75" customHeight="1">
      <c r="A618" s="19" t="str">
        <f>IFERROR(__xludf.DUMMYFUNCTION("""COMPUTED_VALUE"""),"AB_9754")</f>
        <v>AB_9754</v>
      </c>
      <c r="B618" s="19" t="str">
        <f>IFERROR(__xludf.DUMMYFUNCTION("""COMPUTED_VALUE"""),"AB_9754_A")</f>
        <v>AB_9754_A</v>
      </c>
      <c r="C618" s="19" t="str">
        <f>IFERROR(__xludf.DUMMYFUNCTION("""COMPUTED_VALUE"""),"MA9754")</f>
        <v>MA9754</v>
      </c>
      <c r="D618" s="19" t="str">
        <f>IFERROR(__xludf.DUMMYFUNCTION("""COMPUTED_VALUE"""),"Quilicura El Rey")</f>
        <v>Quilicura El Rey</v>
      </c>
      <c r="E618" s="19" t="str">
        <f>IFERROR(__xludf.DUMMYFUNCTION("""COMPUTED_VALUE"""),"SITIO RFI")</f>
        <v>SITIO RFI</v>
      </c>
      <c r="F618" s="19" t="str">
        <f>IFERROR(__xludf.DUMMYFUNCTION("""COMPUTED_VALUE"""),"RFI")</f>
        <v>RFI</v>
      </c>
      <c r="G618" s="19" t="str">
        <f>IFERROR(__xludf.DUMMYFUNCTION("""COMPUTED_VALUE"""),"AS48")</f>
        <v>AS48</v>
      </c>
      <c r="H618" s="19" t="str">
        <f>IFERROR(__xludf.DUMMYFUNCTION("""COMPUTED_VALUE"""),"JTI")</f>
        <v>JTI</v>
      </c>
      <c r="I618" s="19" t="str">
        <f>IFERROR(__xludf.DUMMYFUNCTION("""COMPUTED_VALUE"""),"Entregada")</f>
        <v>Entregada</v>
      </c>
      <c r="J618" s="20">
        <f>IFERROR(__xludf.DUMMYFUNCTION("""COMPUTED_VALUE"""),44610.0)</f>
        <v>44610</v>
      </c>
      <c r="K618" s="19" t="str">
        <f>IFERROR(__xludf.DUMMYFUNCTION("""COMPUTED_VALUE"""),"Entregada")</f>
        <v>Entregada</v>
      </c>
      <c r="L618" s="20">
        <f>IFERROR(__xludf.DUMMYFUNCTION("""COMPUTED_VALUE"""),44608.0)</f>
        <v>44608</v>
      </c>
      <c r="M618" s="19" t="str">
        <f>IFERROR(__xludf.DUMMYFUNCTION("""COMPUTED_VALUE"""),"PCM")</f>
        <v>PCM</v>
      </c>
      <c r="N618" s="19" t="str">
        <f>IFERROR(__xludf.DUMMYFUNCTION("""COMPUTED_VALUE"""),"PRIORIDAD 1 Q3 2023 OCTUBRE")</f>
        <v>PRIORIDAD 1 Q3 2023 OCTUBRE</v>
      </c>
    </row>
    <row r="619" ht="15.75" customHeight="1">
      <c r="A619" s="19" t="str">
        <f>IFERROR(__xludf.DUMMYFUNCTION("""COMPUTED_VALUE"""),"AB_9759")</f>
        <v>AB_9759</v>
      </c>
      <c r="B619" s="19" t="str">
        <f>IFERROR(__xludf.DUMMYFUNCTION("""COMPUTED_VALUE"""),"AB_9759_A")</f>
        <v>AB_9759_A</v>
      </c>
      <c r="C619" s="19" t="str">
        <f>IFERROR(__xludf.DUMMYFUNCTION("""COMPUTED_VALUE"""),"MA9759")</f>
        <v>MA9759</v>
      </c>
      <c r="D619" s="19" t="str">
        <f>IFERROR(__xludf.DUMMYFUNCTION("""COMPUTED_VALUE"""),"Ruta L-60 Mantul")</f>
        <v>Ruta L-60 Mantul</v>
      </c>
      <c r="E619" s="19" t="str">
        <f>IFERROR(__xludf.DUMMYFUNCTION("""COMPUTED_VALUE"""),"SITIO RFI")</f>
        <v>SITIO RFI</v>
      </c>
      <c r="F619" s="19" t="str">
        <f>IFERROR(__xludf.DUMMYFUNCTION("""COMPUTED_VALUE"""),"RFI")</f>
        <v>RFI</v>
      </c>
      <c r="G619" s="19" t="str">
        <f>IFERROR(__xludf.DUMMYFUNCTION("""COMPUTED_VALUE"""),"CV48")</f>
        <v>CV48</v>
      </c>
      <c r="H619" s="19" t="str">
        <f>IFERROR(__xludf.DUMMYFUNCTION("""COMPUTED_VALUE"""),"JTI")</f>
        <v>JTI</v>
      </c>
      <c r="I619" s="19" t="str">
        <f>IFERROR(__xludf.DUMMYFUNCTION("""COMPUTED_VALUE"""),"Entregada")</f>
        <v>Entregada</v>
      </c>
      <c r="J619" s="20">
        <f>IFERROR(__xludf.DUMMYFUNCTION("""COMPUTED_VALUE"""),44876.0)</f>
        <v>44876</v>
      </c>
      <c r="K619" s="19" t="str">
        <f>IFERROR(__xludf.DUMMYFUNCTION("""COMPUTED_VALUE"""),"Entregada")</f>
        <v>Entregada</v>
      </c>
      <c r="L619" s="20">
        <f>IFERROR(__xludf.DUMMYFUNCTION("""COMPUTED_VALUE"""),44902.0)</f>
        <v>44902</v>
      </c>
      <c r="M619" s="19" t="str">
        <f>IFERROR(__xludf.DUMMYFUNCTION("""COMPUTED_VALUE"""),"LLOO")</f>
        <v>LLOO</v>
      </c>
      <c r="N619" s="19" t="str">
        <f>IFERROR(__xludf.DUMMYFUNCTION("""COMPUTED_VALUE"""),"PRIORIDAD 1 Q3 2023 OCTUBRE")</f>
        <v>PRIORIDAD 1 Q3 2023 OCTUBRE</v>
      </c>
    </row>
    <row r="620" ht="15.75" customHeight="1">
      <c r="A620" s="19" t="str">
        <f>IFERROR(__xludf.DUMMYFUNCTION("""COMPUTED_VALUE"""),"AB_9767")</f>
        <v>AB_9767</v>
      </c>
      <c r="B620" s="19" t="str">
        <f>IFERROR(__xludf.DUMMYFUNCTION("""COMPUTED_VALUE"""),"AB_9767_C")</f>
        <v>AB_9767_C</v>
      </c>
      <c r="C620" s="19" t="str">
        <f>IFERROR(__xludf.DUMMYFUNCTION("""COMPUTED_VALUE"""),"MA9767")</f>
        <v>MA9767</v>
      </c>
      <c r="D620" s="19" t="str">
        <f>IFERROR(__xludf.DUMMYFUNCTION("""COMPUTED_VALUE"""),"Alupenhue Molina")</f>
        <v>Alupenhue Molina</v>
      </c>
      <c r="E620" s="19" t="str">
        <f>IFERROR(__xludf.DUMMYFUNCTION("""COMPUTED_VALUE"""),"SITIO RFI")</f>
        <v>SITIO RFI</v>
      </c>
      <c r="F620" s="19" t="str">
        <f>IFERROR(__xludf.DUMMYFUNCTION("""COMPUTED_VALUE"""),"RFI")</f>
        <v>RFI</v>
      </c>
      <c r="G620" s="19" t="str">
        <f>IFERROR(__xludf.DUMMYFUNCTION("""COMPUTED_VALUE"""),"AS60")</f>
        <v>AS60</v>
      </c>
      <c r="H620" s="19" t="str">
        <f>IFERROR(__xludf.DUMMYFUNCTION("""COMPUTED_VALUE"""),"ADM")</f>
        <v>ADM</v>
      </c>
      <c r="I620" s="19" t="str">
        <f>IFERROR(__xludf.DUMMYFUNCTION("""COMPUTED_VALUE"""),"Entregada")</f>
        <v>Entregada</v>
      </c>
      <c r="J620" s="20">
        <f>IFERROR(__xludf.DUMMYFUNCTION("""COMPUTED_VALUE"""),44750.0)</f>
        <v>44750</v>
      </c>
      <c r="K620" s="19" t="str">
        <f>IFERROR(__xludf.DUMMYFUNCTION("""COMPUTED_VALUE"""),"Entregada")</f>
        <v>Entregada</v>
      </c>
      <c r="L620" s="20">
        <f>IFERROR(__xludf.DUMMYFUNCTION("""COMPUTED_VALUE"""),44890.0)</f>
        <v>44890</v>
      </c>
      <c r="M620" s="19" t="str">
        <f>IFERROR(__xludf.DUMMYFUNCTION("""COMPUTED_VALUE"""),"LLOO")</f>
        <v>LLOO</v>
      </c>
      <c r="N620" s="19" t="str">
        <f>IFERROR(__xludf.DUMMYFUNCTION("""COMPUTED_VALUE"""),"PRIORIDAD 1 Q3 2023 OCTUBRE")</f>
        <v>PRIORIDAD 1 Q3 2023 OCTUBRE</v>
      </c>
    </row>
    <row r="621" ht="15.75" customHeight="1">
      <c r="A621" s="19" t="str">
        <f>IFERROR(__xludf.DUMMYFUNCTION("""COMPUTED_VALUE"""),"AB_9771")</f>
        <v>AB_9771</v>
      </c>
      <c r="B621" s="19" t="str">
        <f>IFERROR(__xludf.DUMMYFUNCTION("""COMPUTED_VALUE"""),"AB_9771_A")</f>
        <v>AB_9771_A</v>
      </c>
      <c r="C621" s="19" t="str">
        <f>IFERROR(__xludf.DUMMYFUNCTION("""COMPUTED_VALUE"""),"MA9771")</f>
        <v>MA9771</v>
      </c>
      <c r="D621" s="19" t="str">
        <f>IFERROR(__xludf.DUMMYFUNCTION("""COMPUTED_VALUE"""),"La Posada Cauquenes")</f>
        <v>La Posada Cauquenes</v>
      </c>
      <c r="E621" s="19" t="str">
        <f>IFERROR(__xludf.DUMMYFUNCTION("""COMPUTED_VALUE"""),"SITIO RFI")</f>
        <v>SITIO RFI</v>
      </c>
      <c r="F621" s="19" t="str">
        <f>IFERROR(__xludf.DUMMYFUNCTION("""COMPUTED_VALUE"""),"RFI")</f>
        <v>RFI</v>
      </c>
      <c r="G621" s="19" t="str">
        <f>IFERROR(__xludf.DUMMYFUNCTION("""COMPUTED_VALUE"""),"CV48")</f>
        <v>CV48</v>
      </c>
      <c r="H621" s="19" t="str">
        <f>IFERROR(__xludf.DUMMYFUNCTION("""COMPUTED_VALUE"""),"DEITEL")</f>
        <v>DEITEL</v>
      </c>
      <c r="I621" s="19" t="str">
        <f>IFERROR(__xludf.DUMMYFUNCTION("""COMPUTED_VALUE"""),"Entregada")</f>
        <v>Entregada</v>
      </c>
      <c r="J621" s="20">
        <f>IFERROR(__xludf.DUMMYFUNCTION("""COMPUTED_VALUE"""),44902.0)</f>
        <v>44902</v>
      </c>
      <c r="K621" s="19" t="str">
        <f>IFERROR(__xludf.DUMMYFUNCTION("""COMPUTED_VALUE"""),"Entregada")</f>
        <v>Entregada</v>
      </c>
      <c r="L621" s="20">
        <f>IFERROR(__xludf.DUMMYFUNCTION("""COMPUTED_VALUE"""),44902.0)</f>
        <v>44902</v>
      </c>
      <c r="M621" s="19" t="str">
        <f>IFERROR(__xludf.DUMMYFUNCTION("""COMPUTED_VALUE"""),"LLOO")</f>
        <v>LLOO</v>
      </c>
      <c r="N621" s="19" t="str">
        <f>IFERROR(__xludf.DUMMYFUNCTION("""COMPUTED_VALUE"""),"PRIORIDAD 1 Q3 2023 OCTUBRE")</f>
        <v>PRIORIDAD 1 Q3 2023 OCTUBRE</v>
      </c>
    </row>
    <row r="622" ht="15.75" customHeight="1">
      <c r="A622" s="19" t="str">
        <f>IFERROR(__xludf.DUMMYFUNCTION("""COMPUTED_VALUE"""),"AB_9777")</f>
        <v>AB_9777</v>
      </c>
      <c r="B622" s="19" t="str">
        <f>IFERROR(__xludf.DUMMYFUNCTION("""COMPUTED_VALUE"""),"AB_9777_C")</f>
        <v>AB_9777_C</v>
      </c>
      <c r="C622" s="19" t="str">
        <f>IFERROR(__xludf.DUMMYFUNCTION("""COMPUTED_VALUE"""),"MA9777")</f>
        <v>MA9777</v>
      </c>
      <c r="D622" s="19" t="str">
        <f>IFERROR(__xludf.DUMMYFUNCTION("""COMPUTED_VALUE"""),"Buena Fe Molina")</f>
        <v>Buena Fe Molina</v>
      </c>
      <c r="E622" s="19" t="str">
        <f>IFERROR(__xludf.DUMMYFUNCTION("""COMPUTED_VALUE"""),"SITIO RFI")</f>
        <v>SITIO RFI</v>
      </c>
      <c r="F622" s="19" t="str">
        <f>IFERROR(__xludf.DUMMYFUNCTION("""COMPUTED_VALUE"""),"RFI")</f>
        <v>RFI</v>
      </c>
      <c r="G622" s="19" t="str">
        <f>IFERROR(__xludf.DUMMYFUNCTION("""COMPUTED_VALUE"""),"AS42")</f>
        <v>AS42</v>
      </c>
      <c r="H622" s="19" t="str">
        <f>IFERROR(__xludf.DUMMYFUNCTION("""COMPUTED_VALUE"""),"MER")</f>
        <v>MER</v>
      </c>
      <c r="I622" s="19" t="str">
        <f>IFERROR(__xludf.DUMMYFUNCTION("""COMPUTED_VALUE"""),"Entregada")</f>
        <v>Entregada</v>
      </c>
      <c r="J622" s="20">
        <f>IFERROR(__xludf.DUMMYFUNCTION("""COMPUTED_VALUE"""),44722.0)</f>
        <v>44722</v>
      </c>
      <c r="K622" s="19" t="str">
        <f>IFERROR(__xludf.DUMMYFUNCTION("""COMPUTED_VALUE"""),"Entregada")</f>
        <v>Entregada</v>
      </c>
      <c r="L622" s="20">
        <f>IFERROR(__xludf.DUMMYFUNCTION("""COMPUTED_VALUE"""),44729.0)</f>
        <v>44729</v>
      </c>
      <c r="M622" s="19" t="str">
        <f>IFERROR(__xludf.DUMMYFUNCTION("""COMPUTED_VALUE"""),"LLOO")</f>
        <v>LLOO</v>
      </c>
      <c r="N622" s="19" t="str">
        <f>IFERROR(__xludf.DUMMYFUNCTION("""COMPUTED_VALUE"""),"PRIORIDAD 1 Q3 2023 OCTUBRE")</f>
        <v>PRIORIDAD 1 Q3 2023 OCTUBRE</v>
      </c>
    </row>
    <row r="623" ht="15.75" customHeight="1">
      <c r="A623" s="19" t="str">
        <f>IFERROR(__xludf.DUMMYFUNCTION("""COMPUTED_VALUE"""),"AB_9791")</f>
        <v>AB_9791</v>
      </c>
      <c r="B623" s="19" t="str">
        <f>IFERROR(__xludf.DUMMYFUNCTION("""COMPUTED_VALUE"""),"AB_9791_B")</f>
        <v>AB_9791_B</v>
      </c>
      <c r="C623" s="19" t="str">
        <f>IFERROR(__xludf.DUMMYFUNCTION("""COMPUTED_VALUE"""),"MA9791")</f>
        <v>MA9791</v>
      </c>
      <c r="D623" s="19" t="str">
        <f>IFERROR(__xludf.DUMMYFUNCTION("""COMPUTED_VALUE"""),"Huencuecho Pelarco")</f>
        <v>Huencuecho Pelarco</v>
      </c>
      <c r="E623" s="19" t="str">
        <f>IFERROR(__xludf.DUMMYFUNCTION("""COMPUTED_VALUE"""),"SITIO RFI")</f>
        <v>SITIO RFI</v>
      </c>
      <c r="F623" s="19" t="str">
        <f>IFERROR(__xludf.DUMMYFUNCTION("""COMPUTED_VALUE"""),"RFI")</f>
        <v>RFI</v>
      </c>
      <c r="G623" s="19" t="str">
        <f>IFERROR(__xludf.DUMMYFUNCTION("""COMPUTED_VALUE"""),"MP36")</f>
        <v>MP36</v>
      </c>
      <c r="H623" s="19" t="str">
        <f>IFERROR(__xludf.DUMMYFUNCTION("""COMPUTED_VALUE"""),"AJ")</f>
        <v>AJ</v>
      </c>
      <c r="I623" s="19" t="str">
        <f>IFERROR(__xludf.DUMMYFUNCTION("""COMPUTED_VALUE"""),"Entregada")</f>
        <v>Entregada</v>
      </c>
      <c r="J623" s="20">
        <f>IFERROR(__xludf.DUMMYFUNCTION("""COMPUTED_VALUE"""),44636.0)</f>
        <v>44636</v>
      </c>
      <c r="K623" s="19" t="str">
        <f>IFERROR(__xludf.DUMMYFUNCTION("""COMPUTED_VALUE"""),"Entregada")</f>
        <v>Entregada</v>
      </c>
      <c r="L623" s="20">
        <f>IFERROR(__xludf.DUMMYFUNCTION("""COMPUTED_VALUE"""),44669.0)</f>
        <v>44669</v>
      </c>
      <c r="M623" s="19" t="str">
        <f>IFERROR(__xludf.DUMMYFUNCTION("""COMPUTED_VALUE"""),"PCM")</f>
        <v>PCM</v>
      </c>
      <c r="N623" s="19" t="str">
        <f>IFERROR(__xludf.DUMMYFUNCTION("""COMPUTED_VALUE"""),"PRIORIDAD 1 Q3 2023 OCTUBRE")</f>
        <v>PRIORIDAD 1 Q3 2023 OCTUBRE</v>
      </c>
    </row>
    <row r="624" ht="15.75" customHeight="1">
      <c r="A624" s="19" t="str">
        <f>IFERROR(__xludf.DUMMYFUNCTION("""COMPUTED_VALUE"""),"AB_9820")</f>
        <v>AB_9820</v>
      </c>
      <c r="B624" s="19" t="str">
        <f>IFERROR(__xludf.DUMMYFUNCTION("""COMPUTED_VALUE"""),"AB_9820_B")</f>
        <v>AB_9820_B</v>
      </c>
      <c r="C624" s="19" t="str">
        <f>IFERROR(__xludf.DUMMYFUNCTION("""COMPUTED_VALUE"""),"AP9820")</f>
        <v>AP9820</v>
      </c>
      <c r="D624" s="19" t="str">
        <f>IFERROR(__xludf.DUMMYFUNCTION("""COMPUTED_VALUE"""),"Cobija Camarones ")</f>
        <v>Cobija Camarones </v>
      </c>
      <c r="E624" s="19" t="str">
        <f>IFERROR(__xludf.DUMMYFUNCTION("""COMPUTED_VALUE"""),"SITIO CONSTRUIDO")</f>
        <v>SITIO CONSTRUIDO</v>
      </c>
      <c r="F624" s="19" t="str">
        <f>IFERROR(__xludf.DUMMYFUNCTION("""COMPUTED_VALUE"""),"EXCAVACION")</f>
        <v>EXCAVACION</v>
      </c>
      <c r="G624" s="19" t="str">
        <f>IFERROR(__xludf.DUMMYFUNCTION("""COMPUTED_VALUE"""),"AS48")</f>
        <v>AS48</v>
      </c>
      <c r="H624" s="19" t="str">
        <f>IFERROR(__xludf.DUMMYFUNCTION("""COMPUTED_VALUE"""),"METALING")</f>
        <v>METALING</v>
      </c>
      <c r="I624" s="19" t="str">
        <f>IFERROR(__xludf.DUMMYFUNCTION("""COMPUTED_VALUE"""),"Terminada")</f>
        <v>Terminada</v>
      </c>
      <c r="J624" s="20">
        <f>IFERROR(__xludf.DUMMYFUNCTION("""COMPUTED_VALUE"""),44869.0)</f>
        <v>44869</v>
      </c>
      <c r="K624" s="19" t="str">
        <f>IFERROR(__xludf.DUMMYFUNCTION("""COMPUTED_VALUE"""),"Terminada")</f>
        <v>Terminada</v>
      </c>
      <c r="L624" s="20">
        <f>IFERROR(__xludf.DUMMYFUNCTION("""COMPUTED_VALUE"""),44908.0)</f>
        <v>44908</v>
      </c>
      <c r="M624" s="19" t="str">
        <f>IFERROR(__xludf.DUMMYFUNCTION("""COMPUTED_VALUE"""),"LLOO")</f>
        <v>LLOO</v>
      </c>
      <c r="N624" s="19" t="str">
        <f>IFERROR(__xludf.DUMMYFUNCTION("""COMPUTED_VALUE"""),"PRIORIDAD 1 Q3 2023 OCTUBRE")</f>
        <v>PRIORIDAD 1 Q3 2023 OCTUBRE</v>
      </c>
    </row>
    <row r="625" ht="15.75" customHeight="1">
      <c r="A625" s="19" t="str">
        <f>IFERROR(__xludf.DUMMYFUNCTION("""COMPUTED_VALUE"""),"AB_9921")</f>
        <v>AB_9921</v>
      </c>
      <c r="B625" s="19" t="str">
        <f>IFERROR(__xludf.DUMMYFUNCTION("""COMPUTED_VALUE"""),"AB_9921_E")</f>
        <v>AB_9921_E</v>
      </c>
      <c r="C625" s="19" t="str">
        <f>IFERROR(__xludf.DUMMYFUNCTION("""COMPUTED_VALUE"""),"MA9921")</f>
        <v>MA9921</v>
      </c>
      <c r="D625" s="19" t="str">
        <f>IFERROR(__xludf.DUMMYFUNCTION("""COMPUTED_VALUE"""),"Subestacion Pehuenche")</f>
        <v>Subestacion Pehuenche</v>
      </c>
      <c r="E625" s="19" t="str">
        <f>IFERROR(__xludf.DUMMYFUNCTION("""COMPUTED_VALUE"""),"SITIO PENDIENTE")</f>
        <v>SITIO PENDIENTE</v>
      </c>
      <c r="F625" s="19"/>
      <c r="G625" s="19" t="str">
        <f>IFERROR(__xludf.DUMMYFUNCTION("""COMPUTED_VALUE"""),"AS60")</f>
        <v>AS60</v>
      </c>
      <c r="H625" s="19" t="str">
        <f>IFERROR(__xludf.DUMMYFUNCTION("""COMPUTED_VALUE"""),"JTI")</f>
        <v>JTI</v>
      </c>
      <c r="I625" s="19" t="str">
        <f>IFERROR(__xludf.DUMMYFUNCTION("""COMPUTED_VALUE"""),"Asignada")</f>
        <v>Asignada</v>
      </c>
      <c r="J625" s="20">
        <f>IFERROR(__xludf.DUMMYFUNCTION("""COMPUTED_VALUE"""),45163.0)</f>
        <v>45163</v>
      </c>
      <c r="K625" s="19" t="str">
        <f>IFERROR(__xludf.DUMMYFUNCTION("""COMPUTED_VALUE"""),"Asignada")</f>
        <v>Asignada</v>
      </c>
      <c r="L625" s="20">
        <f>IFERROR(__xludf.DUMMYFUNCTION("""COMPUTED_VALUE"""),45170.0)</f>
        <v>45170</v>
      </c>
      <c r="M625" s="19" t="str">
        <f>IFERROR(__xludf.DUMMYFUNCTION("""COMPUTED_VALUE"""),"PP")</f>
        <v>PP</v>
      </c>
      <c r="N625" s="19" t="str">
        <f>IFERROR(__xludf.DUMMYFUNCTION("""COMPUTED_VALUE"""),"PRIORIDAD 1 Q3 2023 OCTUBRE")</f>
        <v>PRIORIDAD 1 Q3 2023 OCTUBRE</v>
      </c>
    </row>
    <row r="626" ht="15.75" customHeight="1">
      <c r="A626" s="19" t="str">
        <f>IFERROR(__xludf.DUMMYFUNCTION("""COMPUTED_VALUE"""),"AB_9924")</f>
        <v>AB_9924</v>
      </c>
      <c r="B626" s="19" t="str">
        <f>IFERROR(__xludf.DUMMYFUNCTION("""COMPUTED_VALUE"""),"AB_9924_E")</f>
        <v>AB_9924_E</v>
      </c>
      <c r="C626" s="19" t="str">
        <f>IFERROR(__xludf.DUMMYFUNCTION("""COMPUTED_VALUE"""),"MA9924")</f>
        <v>MA9924</v>
      </c>
      <c r="D626" s="19" t="str">
        <f>IFERROR(__xludf.DUMMYFUNCTION("""COMPUTED_VALUE"""),"Ruta Laguna del Maule")</f>
        <v>Ruta Laguna del Maule</v>
      </c>
      <c r="E626" s="19" t="str">
        <f>IFERROR(__xludf.DUMMYFUNCTION("""COMPUTED_VALUE"""),"SITIO PENDIENTE")</f>
        <v>SITIO PENDIENTE</v>
      </c>
      <c r="F626" s="19"/>
      <c r="G626" s="19" t="str">
        <f>IFERROR(__xludf.DUMMYFUNCTION("""COMPUTED_VALUE"""),"x")</f>
        <v>x</v>
      </c>
      <c r="H626" s="19" t="str">
        <f>IFERROR(__xludf.DUMMYFUNCTION("""COMPUTED_VALUE"""),"x")</f>
        <v>x</v>
      </c>
      <c r="I626" s="19" t="str">
        <f>IFERROR(__xludf.DUMMYFUNCTION("""COMPUTED_VALUE"""),"x")</f>
        <v>x</v>
      </c>
      <c r="J626" s="20" t="str">
        <f>IFERROR(__xludf.DUMMYFUNCTION("""COMPUTED_VALUE"""),"x")</f>
        <v>x</v>
      </c>
      <c r="K626" s="19" t="str">
        <f>IFERROR(__xludf.DUMMYFUNCTION("""COMPUTED_VALUE"""),"x")</f>
        <v>x</v>
      </c>
      <c r="L626" s="20" t="str">
        <f>IFERROR(__xludf.DUMMYFUNCTION("""COMPUTED_VALUE"""),"x")</f>
        <v>x</v>
      </c>
      <c r="M626" s="19" t="str">
        <f>IFERROR(__xludf.DUMMYFUNCTION("""COMPUTED_VALUE"""),"PP")</f>
        <v>PP</v>
      </c>
      <c r="N626" s="19" t="str">
        <f>IFERROR(__xludf.DUMMYFUNCTION("""COMPUTED_VALUE"""),"PRIORIDAD 3 Q1 2024 MARZO")</f>
        <v>PRIORIDAD 3 Q1 2024 MARZO</v>
      </c>
    </row>
    <row r="627" ht="15.75" customHeight="1">
      <c r="A627" s="19" t="str">
        <f>IFERROR(__xludf.DUMMYFUNCTION("""COMPUTED_VALUE"""),"AB_9925")</f>
        <v>AB_9925</v>
      </c>
      <c r="B627" s="19" t="str">
        <f>IFERROR(__xludf.DUMMYFUNCTION("""COMPUTED_VALUE"""),"AB_9925_H")</f>
        <v>AB_9925_H</v>
      </c>
      <c r="C627" s="19" t="str">
        <f>IFERROR(__xludf.DUMMYFUNCTION("""COMPUTED_VALUE"""),"MA9925")</f>
        <v>MA9925</v>
      </c>
      <c r="D627" s="19" t="str">
        <f>IFERROR(__xludf.DUMMYFUNCTION("""COMPUTED_VALUE"""),"Lago Colbun Ruta")</f>
        <v>Lago Colbun Ruta</v>
      </c>
      <c r="E627" s="19" t="str">
        <f>IFERROR(__xludf.DUMMYFUNCTION("""COMPUTED_VALUE"""),"EN VALIDACION COMPRAS")</f>
        <v>EN VALIDACION COMPRAS</v>
      </c>
      <c r="F627" s="19"/>
      <c r="G627" s="19" t="str">
        <f>IFERROR(__xludf.DUMMYFUNCTION("""COMPUTED_VALUE"""),"AS60")</f>
        <v>AS60</v>
      </c>
      <c r="H627" s="19" t="str">
        <f>IFERROR(__xludf.DUMMYFUNCTION("""COMPUTED_VALUE"""),"JTI")</f>
        <v>JTI</v>
      </c>
      <c r="I627" s="19" t="str">
        <f>IFERROR(__xludf.DUMMYFUNCTION("""COMPUTED_VALUE"""),"Asignada")</f>
        <v>Asignada</v>
      </c>
      <c r="J627" s="20">
        <f>IFERROR(__xludf.DUMMYFUNCTION("""COMPUTED_VALUE"""),45163.0)</f>
        <v>45163</v>
      </c>
      <c r="K627" s="19" t="str">
        <f>IFERROR(__xludf.DUMMYFUNCTION("""COMPUTED_VALUE"""),"Asignada")</f>
        <v>Asignada</v>
      </c>
      <c r="L627" s="20">
        <f>IFERROR(__xludf.DUMMYFUNCTION("""COMPUTED_VALUE"""),45170.0)</f>
        <v>45170</v>
      </c>
      <c r="M627" s="19" t="str">
        <f>IFERROR(__xludf.DUMMYFUNCTION("""COMPUTED_VALUE"""),"PP")</f>
        <v>PP</v>
      </c>
      <c r="N627" s="19" t="str">
        <f>IFERROR(__xludf.DUMMYFUNCTION("""COMPUTED_VALUE"""),"PRIORIDAD 1 Q3 2023 OCTUBRE")</f>
        <v>PRIORIDAD 1 Q3 2023 OCTUBRE</v>
      </c>
    </row>
    <row r="628" ht="15.75" customHeight="1">
      <c r="A628" s="19" t="str">
        <f>IFERROR(__xludf.DUMMYFUNCTION("""COMPUTED_VALUE"""),"AB_9926")</f>
        <v>AB_9926</v>
      </c>
      <c r="B628" s="19" t="str">
        <f>IFERROR(__xludf.DUMMYFUNCTION("""COMPUTED_VALUE"""),"AB_9926_A")</f>
        <v>AB_9926_A</v>
      </c>
      <c r="C628" s="19" t="str">
        <f>IFERROR(__xludf.DUMMYFUNCTION("""COMPUTED_VALUE"""),"MA9926")</f>
        <v>MA9926</v>
      </c>
      <c r="D628" s="19" t="str">
        <f>IFERROR(__xludf.DUMMYFUNCTION("""COMPUTED_VALUE"""),"Camino Laguna Invertida")</f>
        <v>Camino Laguna Invertida</v>
      </c>
      <c r="E628" s="19" t="str">
        <f>IFERROR(__xludf.DUMMYFUNCTION("""COMPUTED_VALUE"""),"SITIO RFI")</f>
        <v>SITIO RFI</v>
      </c>
      <c r="F628" s="19" t="str">
        <f>IFERROR(__xludf.DUMMYFUNCTION("""COMPUTED_VALUE"""),"RFI")</f>
        <v>RFI</v>
      </c>
      <c r="G628" s="19" t="str">
        <f>IFERROR(__xludf.DUMMYFUNCTION("""COMPUTED_VALUE"""),"CV48")</f>
        <v>CV48</v>
      </c>
      <c r="H628" s="19" t="str">
        <f>IFERROR(__xludf.DUMMYFUNCTION("""COMPUTED_VALUE"""),"JTI")</f>
        <v>JTI</v>
      </c>
      <c r="I628" s="19" t="str">
        <f>IFERROR(__xludf.DUMMYFUNCTION("""COMPUTED_VALUE"""),"Entregada")</f>
        <v>Entregada</v>
      </c>
      <c r="J628" s="20">
        <f>IFERROR(__xludf.DUMMYFUNCTION("""COMPUTED_VALUE"""),44862.0)</f>
        <v>44862</v>
      </c>
      <c r="K628" s="19" t="str">
        <f>IFERROR(__xludf.DUMMYFUNCTION("""COMPUTED_VALUE"""),"Entregada")</f>
        <v>Entregada</v>
      </c>
      <c r="L628" s="20">
        <f>IFERROR(__xludf.DUMMYFUNCTION("""COMPUTED_VALUE"""),44883.0)</f>
        <v>44883</v>
      </c>
      <c r="M628" s="19" t="str">
        <f>IFERROR(__xludf.DUMMYFUNCTION("""COMPUTED_VALUE"""),"PP")</f>
        <v>PP</v>
      </c>
      <c r="N628" s="19" t="str">
        <f>IFERROR(__xludf.DUMMYFUNCTION("""COMPUTED_VALUE"""),"PRIORIDAD 1 Q3 2023 OCTUBRE")</f>
        <v>PRIORIDAD 1 Q3 2023 OCTUBRE</v>
      </c>
    </row>
    <row r="629" ht="15.75" customHeight="1">
      <c r="A629" s="19" t="str">
        <f>IFERROR(__xludf.DUMMYFUNCTION("""COMPUTED_VALUE"""),"AB_9927")</f>
        <v>AB_9927</v>
      </c>
      <c r="B629" s="19" t="str">
        <f>IFERROR(__xludf.DUMMYFUNCTION("""COMPUTED_VALUE"""),"AB_9927_C")</f>
        <v>AB_9927_C</v>
      </c>
      <c r="C629" s="19" t="str">
        <f>IFERROR(__xludf.DUMMYFUNCTION("""COMPUTED_VALUE"""),"MA9927")</f>
        <v>MA9927</v>
      </c>
      <c r="D629" s="19" t="str">
        <f>IFERROR(__xludf.DUMMYFUNCTION("""COMPUTED_VALUE"""),"Salto del Maule")</f>
        <v>Salto del Maule</v>
      </c>
      <c r="E629" s="19" t="str">
        <f>IFERROR(__xludf.DUMMYFUNCTION("""COMPUTED_VALUE"""),"SITIO PENDIENTE")</f>
        <v>SITIO PENDIENTE</v>
      </c>
      <c r="F629" s="19"/>
      <c r="G629" s="19" t="str">
        <f>IFERROR(__xludf.DUMMYFUNCTION("""COMPUTED_VALUE"""),"x")</f>
        <v>x</v>
      </c>
      <c r="H629" s="19" t="str">
        <f>IFERROR(__xludf.DUMMYFUNCTION("""COMPUTED_VALUE"""),"x")</f>
        <v>x</v>
      </c>
      <c r="I629" s="19" t="str">
        <f>IFERROR(__xludf.DUMMYFUNCTION("""COMPUTED_VALUE"""),"x")</f>
        <v>x</v>
      </c>
      <c r="J629" s="20" t="str">
        <f>IFERROR(__xludf.DUMMYFUNCTION("""COMPUTED_VALUE"""),"x")</f>
        <v>x</v>
      </c>
      <c r="K629" s="19" t="str">
        <f>IFERROR(__xludf.DUMMYFUNCTION("""COMPUTED_VALUE"""),"x")</f>
        <v>x</v>
      </c>
      <c r="L629" s="20" t="str">
        <f>IFERROR(__xludf.DUMMYFUNCTION("""COMPUTED_VALUE"""),"x")</f>
        <v>x</v>
      </c>
      <c r="M629" s="19" t="str">
        <f>IFERROR(__xludf.DUMMYFUNCTION("""COMPUTED_VALUE"""),"PP")</f>
        <v>PP</v>
      </c>
      <c r="N629" s="19" t="str">
        <f>IFERROR(__xludf.DUMMYFUNCTION("""COMPUTED_VALUE"""),"PRIORIDAD 3 Q1 2024 MARZO")</f>
        <v>PRIORIDAD 3 Q1 2024 MARZO</v>
      </c>
    </row>
    <row r="630" ht="15.75" customHeight="1">
      <c r="A630" s="19" t="str">
        <f>IFERROR(__xludf.DUMMYFUNCTION("""COMPUTED_VALUE"""),"AB_9928")</f>
        <v>AB_9928</v>
      </c>
      <c r="B630" s="19" t="str">
        <f>IFERROR(__xludf.DUMMYFUNCTION("""COMPUTED_VALUE"""),"AB_9928_C")</f>
        <v>AB_9928_C</v>
      </c>
      <c r="C630" s="19" t="str">
        <f>IFERROR(__xludf.DUMMYFUNCTION("""COMPUTED_VALUE"""),"MA9928")</f>
        <v>MA9928</v>
      </c>
      <c r="D630" s="19" t="str">
        <f>IFERROR(__xludf.DUMMYFUNCTION("""COMPUTED_VALUE"""),"Acceso Lago Melado")</f>
        <v>Acceso Lago Melado</v>
      </c>
      <c r="E630" s="19" t="str">
        <f>IFERROR(__xludf.DUMMYFUNCTION("""COMPUTED_VALUE"""),"SITIO RFI")</f>
        <v>SITIO RFI</v>
      </c>
      <c r="F630" s="19" t="str">
        <f>IFERROR(__xludf.DUMMYFUNCTION("""COMPUTED_VALUE"""),"RFI")</f>
        <v>RFI</v>
      </c>
      <c r="G630" s="19" t="str">
        <f>IFERROR(__xludf.DUMMYFUNCTION("""COMPUTED_VALUE"""),"CV60")</f>
        <v>CV60</v>
      </c>
      <c r="H630" s="19" t="str">
        <f>IFERROR(__xludf.DUMMYFUNCTION("""COMPUTED_VALUE"""),"DEPROMET")</f>
        <v>DEPROMET</v>
      </c>
      <c r="I630" s="19" t="str">
        <f>IFERROR(__xludf.DUMMYFUNCTION("""COMPUTED_VALUE"""),"Entregada")</f>
        <v>Entregada</v>
      </c>
      <c r="J630" s="20">
        <f>IFERROR(__xludf.DUMMYFUNCTION("""COMPUTED_VALUE"""),45001.0)</f>
        <v>45001</v>
      </c>
      <c r="K630" s="19" t="str">
        <f>IFERROR(__xludf.DUMMYFUNCTION("""COMPUTED_VALUE"""),"Entregada")</f>
        <v>Entregada</v>
      </c>
      <c r="L630" s="20">
        <f>IFERROR(__xludf.DUMMYFUNCTION("""COMPUTED_VALUE"""),45014.0)</f>
        <v>45014</v>
      </c>
      <c r="M630" s="19" t="str">
        <f>IFERROR(__xludf.DUMMYFUNCTION("""COMPUTED_VALUE"""),"PP")</f>
        <v>PP</v>
      </c>
      <c r="N630" s="19" t="str">
        <f>IFERROR(__xludf.DUMMYFUNCTION("""COMPUTED_VALUE"""),"PRIORIDAD 1 Q3 2023 OCTUBRE")</f>
        <v>PRIORIDAD 1 Q3 2023 OCTUBRE</v>
      </c>
    </row>
    <row r="631" ht="15.75" customHeight="1">
      <c r="A631" s="19" t="str">
        <f>IFERROR(__xludf.DUMMYFUNCTION("""COMPUTED_VALUE"""),"AB_9929")</f>
        <v>AB_9929</v>
      </c>
      <c r="B631" s="19" t="str">
        <f>IFERROR(__xludf.DUMMYFUNCTION("""COMPUTED_VALUE"""),"AB_9929_E")</f>
        <v>AB_9929_E</v>
      </c>
      <c r="C631" s="19" t="str">
        <f>IFERROR(__xludf.DUMMYFUNCTION("""COMPUTED_VALUE"""),"MA9929")</f>
        <v>MA9929</v>
      </c>
      <c r="D631" s="19" t="str">
        <f>IFERROR(__xludf.DUMMYFUNCTION("""COMPUTED_VALUE"""),"Ruta Valles los Condores")</f>
        <v>Ruta Valles los Condores</v>
      </c>
      <c r="E631" s="19" t="str">
        <f>IFERROR(__xludf.DUMMYFUNCTION("""COMPUTED_VALUE"""),"SITIO PENDIENTE")</f>
        <v>SITIO PENDIENTE</v>
      </c>
      <c r="F631" s="19"/>
      <c r="G631" s="19" t="str">
        <f>IFERROR(__xludf.DUMMYFUNCTION("""COMPUTED_VALUE"""),"x")</f>
        <v>x</v>
      </c>
      <c r="H631" s="19" t="str">
        <f>IFERROR(__xludf.DUMMYFUNCTION("""COMPUTED_VALUE"""),"x")</f>
        <v>x</v>
      </c>
      <c r="I631" s="19" t="str">
        <f>IFERROR(__xludf.DUMMYFUNCTION("""COMPUTED_VALUE"""),"x")</f>
        <v>x</v>
      </c>
      <c r="J631" s="20" t="str">
        <f>IFERROR(__xludf.DUMMYFUNCTION("""COMPUTED_VALUE"""),"x")</f>
        <v>x</v>
      </c>
      <c r="K631" s="19" t="str">
        <f>IFERROR(__xludf.DUMMYFUNCTION("""COMPUTED_VALUE"""),"x")</f>
        <v>x</v>
      </c>
      <c r="L631" s="20" t="str">
        <f>IFERROR(__xludf.DUMMYFUNCTION("""COMPUTED_VALUE"""),"x")</f>
        <v>x</v>
      </c>
      <c r="M631" s="19" t="str">
        <f>IFERROR(__xludf.DUMMYFUNCTION("""COMPUTED_VALUE"""),"PP")</f>
        <v>PP</v>
      </c>
      <c r="N631" s="19" t="str">
        <f>IFERROR(__xludf.DUMMYFUNCTION("""COMPUTED_VALUE"""),"PRIORIDAD 3 Q1 2024 MARZO")</f>
        <v>PRIORIDAD 3 Q1 2024 MARZO</v>
      </c>
    </row>
    <row r="632" ht="15.75" customHeight="1">
      <c r="A632" s="19" t="str">
        <f>IFERROR(__xludf.DUMMYFUNCTION("""COMPUTED_VALUE"""),"AB_9930")</f>
        <v>AB_9930</v>
      </c>
      <c r="B632" s="19" t="str">
        <f>IFERROR(__xludf.DUMMYFUNCTION("""COMPUTED_VALUE"""),"AB_9930_A")</f>
        <v>AB_9930_A</v>
      </c>
      <c r="C632" s="19" t="str">
        <f>IFERROR(__xludf.DUMMYFUNCTION("""COMPUTED_VALUE"""),"MA9930")</f>
        <v>MA9930</v>
      </c>
      <c r="D632" s="19" t="str">
        <f>IFERROR(__xludf.DUMMYFUNCTION("""COMPUTED_VALUE"""),"Presa del embalse Laguna del Maule")</f>
        <v>Presa del embalse Laguna del Maule</v>
      </c>
      <c r="E632" s="19" t="str">
        <f>IFERROR(__xludf.DUMMYFUNCTION("""COMPUTED_VALUE"""),"DETENIDO COMPRA ESTRUCTURA")</f>
        <v>DETENIDO COMPRA ESTRUCTURA</v>
      </c>
      <c r="F632" s="19"/>
      <c r="G632" s="19" t="str">
        <f>IFERROR(__xludf.DUMMYFUNCTION("""COMPUTED_VALUE"""),"AS60")</f>
        <v>AS60</v>
      </c>
      <c r="H632" s="19" t="str">
        <f>IFERROR(__xludf.DUMMYFUNCTION("""COMPUTED_VALUE"""),"COMPRAS")</f>
        <v>COMPRAS</v>
      </c>
      <c r="I632" s="19"/>
      <c r="J632" s="19"/>
      <c r="K632" s="19"/>
      <c r="L632" s="19"/>
      <c r="M632" s="19" t="str">
        <f>IFERROR(__xludf.DUMMYFUNCTION("""COMPUTED_VALUE"""),"PP")</f>
        <v>PP</v>
      </c>
      <c r="N632" s="19" t="str">
        <f>IFERROR(__xludf.DUMMYFUNCTION("""COMPUTED_VALUE"""),"PRIORIDAD 3 Q1 2024 MARZO")</f>
        <v>PRIORIDAD 3 Q1 2024 MARZO</v>
      </c>
    </row>
    <row r="633" ht="15.75" customHeight="1">
      <c r="A633" s="19" t="str">
        <f>IFERROR(__xludf.DUMMYFUNCTION("""COMPUTED_VALUE"""),"AB_9931")</f>
        <v>AB_9931</v>
      </c>
      <c r="B633" s="19" t="str">
        <f>IFERROR(__xludf.DUMMYFUNCTION("""COMPUTED_VALUE"""),"AB_9931_A")</f>
        <v>AB_9931_A</v>
      </c>
      <c r="C633" s="19" t="str">
        <f>IFERROR(__xludf.DUMMYFUNCTION("""COMPUTED_VALUE"""),"MA9931")</f>
        <v>MA9931</v>
      </c>
      <c r="D633" s="19" t="str">
        <f>IFERROR(__xludf.DUMMYFUNCTION("""COMPUTED_VALUE"""),"Laguna Cari Launa")</f>
        <v>Laguna Cari Launa</v>
      </c>
      <c r="E633" s="19" t="str">
        <f>IFERROR(__xludf.DUMMYFUNCTION("""COMPUTED_VALUE"""),"SITIO RFC")</f>
        <v>SITIO RFC</v>
      </c>
      <c r="F633" s="19"/>
      <c r="G633" s="19" t="str">
        <f>IFERROR(__xludf.DUMMYFUNCTION("""COMPUTED_VALUE"""),"CV72")</f>
        <v>CV72</v>
      </c>
      <c r="H633" s="19" t="str">
        <f>IFERROR(__xludf.DUMMYFUNCTION("""COMPUTED_VALUE"""),"DEPROMET")</f>
        <v>DEPROMET</v>
      </c>
      <c r="I633" s="19" t="str">
        <f>IFERROR(__xludf.DUMMYFUNCTION("""COMPUTED_VALUE"""),"Asignada")</f>
        <v>Asignada</v>
      </c>
      <c r="J633" s="20">
        <f>IFERROR(__xludf.DUMMYFUNCTION("""COMPUTED_VALUE"""),45156.0)</f>
        <v>45156</v>
      </c>
      <c r="K633" s="19" t="str">
        <f>IFERROR(__xludf.DUMMYFUNCTION("""COMPUTED_VALUE"""),"Asignada")</f>
        <v>Asignada</v>
      </c>
      <c r="L633" s="20">
        <f>IFERROR(__xludf.DUMMYFUNCTION("""COMPUTED_VALUE"""),45163.0)</f>
        <v>45163</v>
      </c>
      <c r="M633" s="19" t="str">
        <f>IFERROR(__xludf.DUMMYFUNCTION("""COMPUTED_VALUE"""),"PP")</f>
        <v>PP</v>
      </c>
      <c r="N633" s="19" t="str">
        <f>IFERROR(__xludf.DUMMYFUNCTION("""COMPUTED_VALUE"""),"PRIORIDAD 3 Q1 2024 MARZO")</f>
        <v>PRIORIDAD 3 Q1 2024 MARZO</v>
      </c>
    </row>
    <row r="634" ht="15.75" customHeight="1">
      <c r="A634" s="19" t="str">
        <f>IFERROR(__xludf.DUMMYFUNCTION("""COMPUTED_VALUE"""),"AB_10113")</f>
        <v>AB_10113</v>
      </c>
      <c r="B634" s="19" t="str">
        <f>IFERROR(__xludf.DUMMYFUNCTION("""COMPUTED_VALUE"""),"AB_10113_B")</f>
        <v>AB_10113_B</v>
      </c>
      <c r="C634" s="19" t="str">
        <f>IFERROR(__xludf.DUMMYFUNCTION("""COMPUTED_VALUE"""),"MG10113")</f>
        <v>MG10113</v>
      </c>
      <c r="D634" s="19" t="str">
        <f>IFERROR(__xludf.DUMMYFUNCTION("""COMPUTED_VALUE"""),"Villa Tehuelches")</f>
        <v>Villa Tehuelches</v>
      </c>
      <c r="E634" s="19" t="str">
        <f>IFERROR(__xludf.DUMMYFUNCTION("""COMPUTED_VALUE"""),"SITIO EN CONSTRUCCION")</f>
        <v>SITIO EN CONSTRUCCION</v>
      </c>
      <c r="F634" s="19" t="str">
        <f>IFERROR(__xludf.DUMMYFUNCTION("""COMPUTED_VALUE"""),"VISITA")</f>
        <v>VISITA</v>
      </c>
      <c r="G634" s="19" t="str">
        <f>IFERROR(__xludf.DUMMYFUNCTION("""COMPUTED_VALUE"""),"AS48 (H)")</f>
        <v>AS48 (H)</v>
      </c>
      <c r="H634" s="19" t="str">
        <f>IFERROR(__xludf.DUMMYFUNCTION("""COMPUTED_VALUE"""),"MER")</f>
        <v>MER</v>
      </c>
      <c r="I634" s="19" t="str">
        <f>IFERROR(__xludf.DUMMYFUNCTION("""COMPUTED_VALUE"""),"Entregada")</f>
        <v>Entregada</v>
      </c>
      <c r="J634" s="20">
        <f>IFERROR(__xludf.DUMMYFUNCTION("""COMPUTED_VALUE"""),44881.0)</f>
        <v>44881</v>
      </c>
      <c r="K634" s="19" t="str">
        <f>IFERROR(__xludf.DUMMYFUNCTION("""COMPUTED_VALUE"""),"Entregada")</f>
        <v>Entregada</v>
      </c>
      <c r="L634" s="20">
        <f>IFERROR(__xludf.DUMMYFUNCTION("""COMPUTED_VALUE"""),44883.0)</f>
        <v>44883</v>
      </c>
      <c r="M634" s="19" t="str">
        <f>IFERROR(__xludf.DUMMYFUNCTION("""COMPUTED_VALUE"""),"PCM")</f>
        <v>PCM</v>
      </c>
      <c r="N634" s="19" t="str">
        <f>IFERROR(__xludf.DUMMYFUNCTION("""COMPUTED_VALUE"""),"PRIORIDAD 1 Q3 2023 OCTUBRE")</f>
        <v>PRIORIDAD 1 Q3 2023 OCTUBRE</v>
      </c>
    </row>
    <row r="635" ht="15.75" customHeight="1">
      <c r="A635" s="19" t="str">
        <f>IFERROR(__xludf.DUMMYFUNCTION("""COMPUTED_VALUE"""),"AB_10114")</f>
        <v>AB_10114</v>
      </c>
      <c r="B635" s="19" t="str">
        <f>IFERROR(__xludf.DUMMYFUNCTION("""COMPUTED_VALUE"""),"AB_10114_D")</f>
        <v>AB_10114_D</v>
      </c>
      <c r="C635" s="19" t="str">
        <f>IFERROR(__xludf.DUMMYFUNCTION("""COMPUTED_VALUE"""),"MG10114")</f>
        <v>MG10114</v>
      </c>
      <c r="D635" s="19" t="str">
        <f>IFERROR(__xludf.DUMMYFUNCTION("""COMPUTED_VALUE"""),"Cerro Guido")</f>
        <v>Cerro Guido</v>
      </c>
      <c r="E635" s="19" t="str">
        <f>IFERROR(__xludf.DUMMYFUNCTION("""COMPUTED_VALUE"""),"SITIO ASIGNADO")</f>
        <v>SITIO ASIGNADO</v>
      </c>
      <c r="F635" s="19"/>
      <c r="G635" s="19" t="str">
        <f>IFERROR(__xludf.DUMMYFUNCTION("""COMPUTED_VALUE"""),"AS60 (H)")</f>
        <v>AS60 (H)</v>
      </c>
      <c r="H635" s="19" t="str">
        <f>IFERROR(__xludf.DUMMYFUNCTION("""COMPUTED_VALUE"""),"MER")</f>
        <v>MER</v>
      </c>
      <c r="I635" s="19" t="str">
        <f>IFERROR(__xludf.DUMMYFUNCTION("""COMPUTED_VALUE"""),"Terminada")</f>
        <v>Terminada</v>
      </c>
      <c r="J635" s="20">
        <f>IFERROR(__xludf.DUMMYFUNCTION("""COMPUTED_VALUE"""),45012.0)</f>
        <v>45012</v>
      </c>
      <c r="K635" s="19" t="str">
        <f>IFERROR(__xludf.DUMMYFUNCTION("""COMPUTED_VALUE"""),"Por pintar ")</f>
        <v>Por pintar </v>
      </c>
      <c r="L635" s="20">
        <f>IFERROR(__xludf.DUMMYFUNCTION("""COMPUTED_VALUE"""),45012.0)</f>
        <v>45012</v>
      </c>
      <c r="M635" s="19" t="str">
        <f>IFERROR(__xludf.DUMMYFUNCTION("""COMPUTED_VALUE"""),"PCM")</f>
        <v>PCM</v>
      </c>
      <c r="N635" s="19" t="str">
        <f>IFERROR(__xludf.DUMMYFUNCTION("""COMPUTED_VALUE"""),"PRIORIDAD 1 Q3 2023 OCTUBRE")</f>
        <v>PRIORIDAD 1 Q3 2023 OCTUBRE</v>
      </c>
    </row>
    <row r="636" ht="15.75" customHeight="1">
      <c r="A636" s="19" t="str">
        <f>IFERROR(__xludf.DUMMYFUNCTION("""COMPUTED_VALUE"""),"AB_10117")</f>
        <v>AB_10117</v>
      </c>
      <c r="B636" s="19" t="str">
        <f>IFERROR(__xludf.DUMMYFUNCTION("""COMPUTED_VALUE"""),"AB_10117_A")</f>
        <v>AB_10117_A</v>
      </c>
      <c r="C636" s="19" t="str">
        <f>IFERROR(__xludf.DUMMYFUNCTION("""COMPUTED_VALUE"""),"MG10117")</f>
        <v>MG10117</v>
      </c>
      <c r="D636" s="19" t="str">
        <f>IFERROR(__xludf.DUMMYFUNCTION("""COMPUTED_VALUE"""),"Pampa Gua Timaukel")</f>
        <v>Pampa Gua Timaukel</v>
      </c>
      <c r="E636" s="19" t="str">
        <f>IFERROR(__xludf.DUMMYFUNCTION("""COMPUTED_VALUE"""),"SITIO RFI")</f>
        <v>SITIO RFI</v>
      </c>
      <c r="F636" s="19" t="str">
        <f>IFERROR(__xludf.DUMMYFUNCTION("""COMPUTED_VALUE"""),"RFI")</f>
        <v>RFI</v>
      </c>
      <c r="G636" s="19" t="str">
        <f>IFERROR(__xludf.DUMMYFUNCTION("""COMPUTED_VALUE"""),"AS42 (H)")</f>
        <v>AS42 (H)</v>
      </c>
      <c r="H636" s="19" t="str">
        <f>IFERROR(__xludf.DUMMYFUNCTION("""COMPUTED_VALUE"""),"JTI")</f>
        <v>JTI</v>
      </c>
      <c r="I636" s="19" t="str">
        <f>IFERROR(__xludf.DUMMYFUNCTION("""COMPUTED_VALUE"""),"Entregada")</f>
        <v>Entregada</v>
      </c>
      <c r="J636" s="19"/>
      <c r="K636" s="19" t="str">
        <f>IFERROR(__xludf.DUMMYFUNCTION("""COMPUTED_VALUE"""),"Entregada")</f>
        <v>Entregada</v>
      </c>
      <c r="L636" s="19"/>
      <c r="M636" s="19" t="str">
        <f>IFERROR(__xludf.DUMMYFUNCTION("""COMPUTED_VALUE"""),"PCM")</f>
        <v>PCM</v>
      </c>
      <c r="N636" s="19" t="str">
        <f>IFERROR(__xludf.DUMMYFUNCTION("""COMPUTED_VALUE"""),"PRIORIDAD 1 Q3 2023 OCTUBRE")</f>
        <v>PRIORIDAD 1 Q3 2023 OCTUBRE</v>
      </c>
    </row>
    <row r="637" ht="15.75" customHeight="1">
      <c r="A637" s="19" t="str">
        <f>IFERROR(__xludf.DUMMYFUNCTION("""COMPUTED_VALUE"""),"AB_10157")</f>
        <v>AB_10157</v>
      </c>
      <c r="B637" s="19" t="str">
        <f>IFERROR(__xludf.DUMMYFUNCTION("""COMPUTED_VALUE"""),"AB_10157_C")</f>
        <v>AB_10157_C</v>
      </c>
      <c r="C637" s="19" t="str">
        <f>IFERROR(__xludf.DUMMYFUNCTION("""COMPUTED_VALUE"""),"MG10157")</f>
        <v>MG10157</v>
      </c>
      <c r="D637" s="19" t="str">
        <f>IFERROR(__xludf.DUMMYFUNCTION("""COMPUTED_VALUE"""),"Aeropuerto Puerto Natales")</f>
        <v>Aeropuerto Puerto Natales</v>
      </c>
      <c r="E637" s="19" t="str">
        <f>IFERROR(__xludf.DUMMYFUNCTION("""COMPUTED_VALUE"""),"SITIO ASIGNADO")</f>
        <v>SITIO ASIGNADO</v>
      </c>
      <c r="F637" s="19"/>
      <c r="G637" s="19" t="str">
        <f>IFERROR(__xludf.DUMMYFUNCTION("""COMPUTED_VALUE"""),"CV42 (H)")</f>
        <v>CV42 (H)</v>
      </c>
      <c r="H637" s="19" t="str">
        <f>IFERROR(__xludf.DUMMYFUNCTION("""COMPUTED_VALUE"""),"SYC")</f>
        <v>SYC</v>
      </c>
      <c r="I637" s="19" t="str">
        <f>IFERROR(__xludf.DUMMYFUNCTION("""COMPUTED_VALUE"""),"Terminada")</f>
        <v>Terminada</v>
      </c>
      <c r="J637" s="20">
        <f>IFERROR(__xludf.DUMMYFUNCTION("""COMPUTED_VALUE"""),44890.0)</f>
        <v>44890</v>
      </c>
      <c r="K637" s="19" t="str">
        <f>IFERROR(__xludf.DUMMYFUNCTION("""COMPUTED_VALUE"""),"Por pintar ")</f>
        <v>Por pintar </v>
      </c>
      <c r="L637" s="20">
        <f>IFERROR(__xludf.DUMMYFUNCTION("""COMPUTED_VALUE"""),44897.0)</f>
        <v>44897</v>
      </c>
      <c r="M637" s="19" t="str">
        <f>IFERROR(__xludf.DUMMYFUNCTION("""COMPUTED_VALUE"""),"PCM")</f>
        <v>PCM</v>
      </c>
      <c r="N637" s="19" t="str">
        <f>IFERROR(__xludf.DUMMYFUNCTION("""COMPUTED_VALUE"""),"PRIORIDAD 1 Q3 2023 OCTUBRE")</f>
        <v>PRIORIDAD 1 Q3 2023 OCTUBRE</v>
      </c>
    </row>
    <row r="638" ht="15.75" customHeight="1">
      <c r="A638" s="19" t="str">
        <f>IFERROR(__xludf.DUMMYFUNCTION("""COMPUTED_VALUE"""),"AB_10167")</f>
        <v>AB_10167</v>
      </c>
      <c r="B638" s="19" t="str">
        <f>IFERROR(__xludf.DUMMYFUNCTION("""COMPUTED_VALUE"""),"AB_10167_A")</f>
        <v>AB_10167_A</v>
      </c>
      <c r="C638" s="19" t="str">
        <f>IFERROR(__xludf.DUMMYFUNCTION("""COMPUTED_VALUE"""),"MG10167")</f>
        <v>MG10167</v>
      </c>
      <c r="D638" s="19" t="str">
        <f>IFERROR(__xludf.DUMMYFUNCTION("""COMPUTED_VALUE"""),"Dorotea")</f>
        <v>Dorotea</v>
      </c>
      <c r="E638" s="19" t="str">
        <f>IFERROR(__xludf.DUMMYFUNCTION("""COMPUTED_VALUE"""),"SITIO PENDIENTE")</f>
        <v>SITIO PENDIENTE</v>
      </c>
      <c r="F638" s="19"/>
      <c r="G638" s="19" t="str">
        <f>IFERROR(__xludf.DUMMYFUNCTION("""COMPUTED_VALUE"""),"AS42 (H)")</f>
        <v>AS42 (H)</v>
      </c>
      <c r="H638" s="19" t="str">
        <f>IFERROR(__xludf.DUMMYFUNCTION("""COMPUTED_VALUE"""),"COMPRAS")</f>
        <v>COMPRAS</v>
      </c>
      <c r="I638" s="19"/>
      <c r="J638" s="19"/>
      <c r="K638" s="19"/>
      <c r="L638" s="19"/>
      <c r="M638" s="19" t="str">
        <f>IFERROR(__xludf.DUMMYFUNCTION("""COMPUTED_VALUE"""),"PCM")</f>
        <v>PCM</v>
      </c>
      <c r="N638" s="19" t="str">
        <f>IFERROR(__xludf.DUMMYFUNCTION("""COMPUTED_VALUE"""),"PRIORIDAD 3 Q1 2024 MARZO")</f>
        <v>PRIORIDAD 3 Q1 2024 MARZO</v>
      </c>
    </row>
    <row r="639" ht="15.75" customHeight="1">
      <c r="A639" s="19" t="str">
        <f>IFERROR(__xludf.DUMMYFUNCTION("""COMPUTED_VALUE"""),"AB_10326")</f>
        <v>AB_10326</v>
      </c>
      <c r="B639" s="19" t="str">
        <f>IFERROR(__xludf.DUMMYFUNCTION("""COMPUTED_VALUE"""),"AB_10326_A")</f>
        <v>AB_10326_A</v>
      </c>
      <c r="C639" s="19" t="str">
        <f>IFERROR(__xludf.DUMMYFUNCTION("""COMPUTED_VALUE"""),"MG10326")</f>
        <v>MG10326</v>
      </c>
      <c r="D639" s="19" t="str">
        <f>IFERROR(__xludf.DUMMYFUNCTION("""COMPUTED_VALUE"""),"Universidad Magallanes Natales")</f>
        <v>Universidad Magallanes Natales</v>
      </c>
      <c r="E639" s="19" t="str">
        <f>IFERROR(__xludf.DUMMYFUNCTION("""COMPUTED_VALUE"""),"SITIO RFI")</f>
        <v>SITIO RFI</v>
      </c>
      <c r="F639" s="19" t="str">
        <f>IFERROR(__xludf.DUMMYFUNCTION("""COMPUTED_VALUE"""),"RFI")</f>
        <v>RFI</v>
      </c>
      <c r="G639" s="19" t="str">
        <f>IFERROR(__xludf.DUMMYFUNCTION("""COMPUTED_VALUE"""),"AS42 (H)")</f>
        <v>AS42 (H)</v>
      </c>
      <c r="H639" s="19" t="str">
        <f>IFERROR(__xludf.DUMMYFUNCTION("""COMPUTED_VALUE"""),"JTI")</f>
        <v>JTI</v>
      </c>
      <c r="I639" s="19" t="str">
        <f>IFERROR(__xludf.DUMMYFUNCTION("""COMPUTED_VALUE"""),"Entregada")</f>
        <v>Entregada</v>
      </c>
      <c r="J639" s="20">
        <f>IFERROR(__xludf.DUMMYFUNCTION("""COMPUTED_VALUE"""),44694.0)</f>
        <v>44694</v>
      </c>
      <c r="K639" s="19" t="str">
        <f>IFERROR(__xludf.DUMMYFUNCTION("""COMPUTED_VALUE"""),"Entregada")</f>
        <v>Entregada</v>
      </c>
      <c r="L639" s="20">
        <f>IFERROR(__xludf.DUMMYFUNCTION("""COMPUTED_VALUE"""),44715.0)</f>
        <v>44715</v>
      </c>
      <c r="M639" s="19" t="str">
        <f>IFERROR(__xludf.DUMMYFUNCTION("""COMPUTED_VALUE"""),"PCM")</f>
        <v>PCM</v>
      </c>
      <c r="N639" s="19" t="str">
        <f>IFERROR(__xludf.DUMMYFUNCTION("""COMPUTED_VALUE"""),"PRIORIDAD 1 Q3 2023 OCTUBRE")</f>
        <v>PRIORIDAD 1 Q3 2023 OCTUBRE</v>
      </c>
    </row>
    <row r="640" ht="15.75" customHeight="1">
      <c r="A640" s="19" t="str">
        <f>IFERROR(__xludf.DUMMYFUNCTION("""COMPUTED_VALUE"""),"AB_11136")</f>
        <v>AB_11136</v>
      </c>
      <c r="B640" s="19" t="str">
        <f>IFERROR(__xludf.DUMMYFUNCTION("""COMPUTED_VALUE"""),"AB_11136_B")</f>
        <v>AB_11136_B</v>
      </c>
      <c r="C640" s="19" t="str">
        <f>IFERROR(__xludf.DUMMYFUNCTION("""COMPUTED_VALUE"""),"MG11136")</f>
        <v>MG11136</v>
      </c>
      <c r="D640" s="19" t="str">
        <f>IFERROR(__xludf.DUMMYFUNCTION("""COMPUTED_VALUE"""),"RPT Dos Lagunas")</f>
        <v>RPT Dos Lagunas</v>
      </c>
      <c r="E640" s="19" t="str">
        <f>IFERROR(__xludf.DUMMYFUNCTION("""COMPUTED_VALUE"""),"SITIO ASIGNADO")</f>
        <v>SITIO ASIGNADO</v>
      </c>
      <c r="F640" s="19"/>
      <c r="G640" s="19" t="str">
        <f>IFERROR(__xludf.DUMMYFUNCTION("""COMPUTED_VALUE"""),"AS60 (H)")</f>
        <v>AS60 (H)</v>
      </c>
      <c r="H640" s="19" t="str">
        <f>IFERROR(__xludf.DUMMYFUNCTION("""COMPUTED_VALUE"""),"JTI")</f>
        <v>JTI</v>
      </c>
      <c r="I640" s="19" t="str">
        <f>IFERROR(__xludf.DUMMYFUNCTION("""COMPUTED_VALUE"""),"Entregada")</f>
        <v>Entregada</v>
      </c>
      <c r="J640" s="20">
        <f>IFERROR(__xludf.DUMMYFUNCTION("""COMPUTED_VALUE"""),44683.0)</f>
        <v>44683</v>
      </c>
      <c r="K640" s="19" t="str">
        <f>IFERROR(__xludf.DUMMYFUNCTION("""COMPUTED_VALUE"""),"Terminada")</f>
        <v>Terminada</v>
      </c>
      <c r="L640" s="20">
        <f>IFERROR(__xludf.DUMMYFUNCTION("""COMPUTED_VALUE"""),44708.0)</f>
        <v>44708</v>
      </c>
      <c r="M640" s="19" t="str">
        <f>IFERROR(__xludf.DUMMYFUNCTION("""COMPUTED_VALUE"""),"PCM_3")</f>
        <v>PCM_3</v>
      </c>
      <c r="N640" s="19" t="str">
        <f>IFERROR(__xludf.DUMMYFUNCTION("""COMPUTED_VALUE"""),"PRIORIDAD 3 Q1 2024 MARZO")</f>
        <v>PRIORIDAD 3 Q1 2024 MARZO</v>
      </c>
    </row>
    <row r="641" ht="15.75" customHeight="1">
      <c r="A641" s="19" t="str">
        <f>IFERROR(__xludf.DUMMYFUNCTION("""COMPUTED_VALUE"""),"AB_11137")</f>
        <v>AB_11137</v>
      </c>
      <c r="B641" s="19" t="str">
        <f>IFERROR(__xludf.DUMMYFUNCTION("""COMPUTED_VALUE"""),"AB_11137_B")</f>
        <v>AB_11137_B</v>
      </c>
      <c r="C641" s="19" t="str">
        <f>IFERROR(__xludf.DUMMYFUNCTION("""COMPUTED_VALUE"""),"MG11137")</f>
        <v>MG11137</v>
      </c>
      <c r="D641" s="19" t="str">
        <f>IFERROR(__xludf.DUMMYFUNCTION("""COMPUTED_VALUE"""),"	RPT Rincon Negro")</f>
        <v>	RPT Rincon Negro</v>
      </c>
      <c r="E641" s="19" t="str">
        <f>IFERROR(__xludf.DUMMYFUNCTION("""COMPUTED_VALUE"""),"DETENIDO CLIMA")</f>
        <v>DETENIDO CLIMA</v>
      </c>
      <c r="F641" s="19"/>
      <c r="G641" s="19" t="str">
        <f>IFERROR(__xludf.DUMMYFUNCTION("""COMPUTED_VALUE"""),"AS30 (H)")</f>
        <v>AS30 (H)</v>
      </c>
      <c r="H641" s="19" t="str">
        <f>IFERROR(__xludf.DUMMYFUNCTION("""COMPUTED_VALUE"""),"JTI")</f>
        <v>JTI</v>
      </c>
      <c r="I641" s="19" t="str">
        <f>IFERROR(__xludf.DUMMYFUNCTION("""COMPUTED_VALUE"""),"Terminada")</f>
        <v>Terminada</v>
      </c>
      <c r="J641" s="20">
        <f>IFERROR(__xludf.DUMMYFUNCTION("""COMPUTED_VALUE"""),45034.0)</f>
        <v>45034</v>
      </c>
      <c r="K641" s="19" t="str">
        <f>IFERROR(__xludf.DUMMYFUNCTION("""COMPUTED_VALUE"""),"Terminada")</f>
        <v>Terminada</v>
      </c>
      <c r="L641" s="20">
        <f>IFERROR(__xludf.DUMMYFUNCTION("""COMPUTED_VALUE"""),45049.0)</f>
        <v>45049</v>
      </c>
      <c r="M641" s="19" t="str">
        <f>IFERROR(__xludf.DUMMYFUNCTION("""COMPUTED_VALUE"""),"PCM_3")</f>
        <v>PCM_3</v>
      </c>
      <c r="N641" s="19" t="str">
        <f>IFERROR(__xludf.DUMMYFUNCTION("""COMPUTED_VALUE"""),"PRIORIDAD 3 Q1 2024 MARZO")</f>
        <v>PRIORIDAD 3 Q1 2024 MARZO</v>
      </c>
    </row>
    <row r="642" ht="15.75" customHeight="1">
      <c r="A642" s="19" t="str">
        <f>IFERROR(__xludf.DUMMYFUNCTION("""COMPUTED_VALUE"""),"AB_1476")</f>
        <v>AB_1476</v>
      </c>
      <c r="B642" s="19" t="str">
        <f>IFERROR(__xludf.DUMMYFUNCTION("""COMPUTED_VALUE"""),"AB_1476_F")</f>
        <v>AB_1476_F</v>
      </c>
      <c r="C642" s="19" t="str">
        <f>IFERROR(__xludf.DUMMYFUNCTION("""COMPUTED_VALUE"""),"MG1476")</f>
        <v>MG1476</v>
      </c>
      <c r="D642" s="19" t="str">
        <f>IFERROR(__xludf.DUMMYFUNCTION("""COMPUTED_VALUE"""),"Puerto Natales Cerro Dorotea")</f>
        <v>Puerto Natales Cerro Dorotea</v>
      </c>
      <c r="E642" s="19" t="str">
        <f>IFERROR(__xludf.DUMMYFUNCTION("""COMPUTED_VALUE"""),"SITIO ASIGNADO")</f>
        <v>SITIO ASIGNADO</v>
      </c>
      <c r="F642" s="19"/>
      <c r="G642" s="19" t="str">
        <f>IFERROR(__xludf.DUMMYFUNCTION("""COMPUTED_VALUE"""),"AS14 (H)")</f>
        <v>AS14 (H)</v>
      </c>
      <c r="H642" s="19" t="str">
        <f>IFERROR(__xludf.DUMMYFUNCTION("""COMPUTED_VALUE"""),"AJ")</f>
        <v>AJ</v>
      </c>
      <c r="I642" s="19" t="str">
        <f>IFERROR(__xludf.DUMMYFUNCTION("""COMPUTED_VALUE"""),"Terminada")</f>
        <v>Terminada</v>
      </c>
      <c r="J642" s="20">
        <f>IFERROR(__xludf.DUMMYFUNCTION("""COMPUTED_VALUE"""),44894.0)</f>
        <v>44894</v>
      </c>
      <c r="K642" s="19" t="str">
        <f>IFERROR(__xludf.DUMMYFUNCTION("""COMPUTED_VALUE"""),"Terminada")</f>
        <v>Terminada</v>
      </c>
      <c r="L642" s="20">
        <f>IFERROR(__xludf.DUMMYFUNCTION("""COMPUTED_VALUE"""),44894.0)</f>
        <v>44894</v>
      </c>
      <c r="M642" s="19" t="str">
        <f>IFERROR(__xludf.DUMMYFUNCTION("""COMPUTED_VALUE"""),"PCM")</f>
        <v>PCM</v>
      </c>
      <c r="N642" s="19" t="str">
        <f>IFERROR(__xludf.DUMMYFUNCTION("""COMPUTED_VALUE"""),"PRIORIDAD 1 Q3 2023 OCTUBRE")</f>
        <v>PRIORIDAD 1 Q3 2023 OCTUBRE</v>
      </c>
    </row>
    <row r="643" ht="15.75" customHeight="1">
      <c r="A643" s="19" t="str">
        <f>IFERROR(__xludf.DUMMYFUNCTION("""COMPUTED_VALUE"""),"AB_1501")</f>
        <v>AB_1501</v>
      </c>
      <c r="B643" s="19" t="str">
        <f>IFERROR(__xludf.DUMMYFUNCTION("""COMPUTED_VALUE"""),"AB_1501_B")</f>
        <v>AB_1501_B</v>
      </c>
      <c r="C643" s="19" t="str">
        <f>IFERROR(__xludf.DUMMYFUNCTION("""COMPUTED_VALUE"""),"MG1501")</f>
        <v>MG1501</v>
      </c>
      <c r="D643" s="19" t="str">
        <f>IFERROR(__xludf.DUMMYFUNCTION("""COMPUTED_VALUE"""),"Punta Arenas Cabo Negro")</f>
        <v>Punta Arenas Cabo Negro</v>
      </c>
      <c r="E643" s="19" t="str">
        <f>IFERROR(__xludf.DUMMYFUNCTION("""COMPUTED_VALUE"""),"SITIO RFI")</f>
        <v>SITIO RFI</v>
      </c>
      <c r="F643" s="19" t="str">
        <f>IFERROR(__xludf.DUMMYFUNCTION("""COMPUTED_VALUE"""),"RFI")</f>
        <v>RFI</v>
      </c>
      <c r="G643" s="19" t="str">
        <f>IFERROR(__xludf.DUMMYFUNCTION("""COMPUTED_VALUE"""),"AS60 (H)")</f>
        <v>AS60 (H)</v>
      </c>
      <c r="H643" s="19" t="str">
        <f>IFERROR(__xludf.DUMMYFUNCTION("""COMPUTED_VALUE"""),"JTI")</f>
        <v>JTI</v>
      </c>
      <c r="I643" s="19" t="str">
        <f>IFERROR(__xludf.DUMMYFUNCTION("""COMPUTED_VALUE"""),"Entregada")</f>
        <v>Entregada</v>
      </c>
      <c r="J643" s="20">
        <f>IFERROR(__xludf.DUMMYFUNCTION("""COMPUTED_VALUE"""),44683.0)</f>
        <v>44683</v>
      </c>
      <c r="K643" s="19" t="str">
        <f>IFERROR(__xludf.DUMMYFUNCTION("""COMPUTED_VALUE"""),"Entregada")</f>
        <v>Entregada</v>
      </c>
      <c r="L643" s="20">
        <f>IFERROR(__xludf.DUMMYFUNCTION("""COMPUTED_VALUE"""),44708.0)</f>
        <v>44708</v>
      </c>
      <c r="M643" s="19" t="str">
        <f>IFERROR(__xludf.DUMMYFUNCTION("""COMPUTED_VALUE"""),"PP")</f>
        <v>PP</v>
      </c>
      <c r="N643" s="19" t="str">
        <f>IFERROR(__xludf.DUMMYFUNCTION("""COMPUTED_VALUE"""),"PRIORIDAD 1 Q3 2023 OCTUBRE")</f>
        <v>PRIORIDAD 1 Q3 2023 OCTUBRE</v>
      </c>
    </row>
    <row r="644" ht="15.75" customHeight="1">
      <c r="A644" s="19" t="str">
        <f>IFERROR(__xludf.DUMMYFUNCTION("""COMPUTED_VALUE"""),"AB_2497")</f>
        <v>AB_2497</v>
      </c>
      <c r="B644" s="19" t="str">
        <f>IFERROR(__xludf.DUMMYFUNCTION("""COMPUTED_VALUE"""),"AB_2497_A")</f>
        <v>AB_2497_A</v>
      </c>
      <c r="C644" s="19" t="str">
        <f>IFERROR(__xludf.DUMMYFUNCTION("""COMPUTED_VALUE"""),"MG2497")</f>
        <v>MG2497</v>
      </c>
      <c r="D644" s="19" t="str">
        <f>IFERROR(__xludf.DUMMYFUNCTION("""COMPUTED_VALUE"""),"Isla Riesco")</f>
        <v>Isla Riesco</v>
      </c>
      <c r="E644" s="19" t="str">
        <f>IFERROR(__xludf.DUMMYFUNCTION("""COMPUTED_VALUE"""),"SITIO RFI")</f>
        <v>SITIO RFI</v>
      </c>
      <c r="F644" s="19" t="str">
        <f>IFERROR(__xludf.DUMMYFUNCTION("""COMPUTED_VALUE"""),"RFI")</f>
        <v>RFI</v>
      </c>
      <c r="G644" s="19" t="str">
        <f>IFERROR(__xludf.DUMMYFUNCTION("""COMPUTED_VALUE"""),"AS60 (H)")</f>
        <v>AS60 (H)</v>
      </c>
      <c r="H644" s="19" t="str">
        <f>IFERROR(__xludf.DUMMYFUNCTION("""COMPUTED_VALUE"""),"JTI")</f>
        <v>JTI</v>
      </c>
      <c r="I644" s="19" t="str">
        <f>IFERROR(__xludf.DUMMYFUNCTION("""COMPUTED_VALUE"""),"Entregada")</f>
        <v>Entregada</v>
      </c>
      <c r="J644" s="20">
        <f>IFERROR(__xludf.DUMMYFUNCTION("""COMPUTED_VALUE"""),44683.0)</f>
        <v>44683</v>
      </c>
      <c r="K644" s="19" t="str">
        <f>IFERROR(__xludf.DUMMYFUNCTION("""COMPUTED_VALUE"""),"Entregada")</f>
        <v>Entregada</v>
      </c>
      <c r="L644" s="20">
        <f>IFERROR(__xludf.DUMMYFUNCTION("""COMPUTED_VALUE"""),44718.0)</f>
        <v>44718</v>
      </c>
      <c r="M644" s="19" t="str">
        <f>IFERROR(__xludf.DUMMYFUNCTION("""COMPUTED_VALUE"""),"PCM")</f>
        <v>PCM</v>
      </c>
      <c r="N644" s="19" t="str">
        <f>IFERROR(__xludf.DUMMYFUNCTION("""COMPUTED_VALUE"""),"PRIORIDAD 1 Q3 2023 OCTUBRE")</f>
        <v>PRIORIDAD 1 Q3 2023 OCTUBRE</v>
      </c>
    </row>
    <row r="645" ht="15.75" customHeight="1">
      <c r="A645" s="19" t="str">
        <f>IFERROR(__xludf.DUMMYFUNCTION("""COMPUTED_VALUE"""),"AB_2777")</f>
        <v>AB_2777</v>
      </c>
      <c r="B645" s="19" t="str">
        <f>IFERROR(__xludf.DUMMYFUNCTION("""COMPUTED_VALUE"""),"AB_2777_D")</f>
        <v>AB_2777_D</v>
      </c>
      <c r="C645" s="19" t="str">
        <f>IFERROR(__xludf.DUMMYFUNCTION("""COMPUTED_VALUE"""),"MG2777")</f>
        <v>MG2777</v>
      </c>
      <c r="D645" s="19" t="str">
        <f>IFERROR(__xludf.DUMMYFUNCTION("""COMPUTED_VALUE"""),"Puerto Williams")</f>
        <v>Puerto Williams</v>
      </c>
      <c r="E645" s="19" t="str">
        <f>IFERROR(__xludf.DUMMYFUNCTION("""COMPUTED_VALUE"""),"DETENIDO CLIMA")</f>
        <v>DETENIDO CLIMA</v>
      </c>
      <c r="F645" s="19" t="str">
        <f>IFERROR(__xludf.DUMMYFUNCTION("""COMPUTED_VALUE"""),"VISITA")</f>
        <v>VISITA</v>
      </c>
      <c r="G645" s="19" t="str">
        <f>IFERROR(__xludf.DUMMYFUNCTION("""COMPUTED_VALUE"""),"AS36 (H)")</f>
        <v>AS36 (H)</v>
      </c>
      <c r="H645" s="19" t="str">
        <f>IFERROR(__xludf.DUMMYFUNCTION("""COMPUTED_VALUE"""),"MER")</f>
        <v>MER</v>
      </c>
      <c r="I645" s="19" t="str">
        <f>IFERROR(__xludf.DUMMYFUNCTION("""COMPUTED_VALUE"""),"Terminada")</f>
        <v>Terminada</v>
      </c>
      <c r="J645" s="20">
        <f>IFERROR(__xludf.DUMMYFUNCTION("""COMPUTED_VALUE"""),44883.0)</f>
        <v>44883</v>
      </c>
      <c r="K645" s="19" t="str">
        <f>IFERROR(__xludf.DUMMYFUNCTION("""COMPUTED_VALUE"""),"Por pintar ")</f>
        <v>Por pintar </v>
      </c>
      <c r="L645" s="20">
        <f>IFERROR(__xludf.DUMMYFUNCTION("""COMPUTED_VALUE"""),44890.0)</f>
        <v>44890</v>
      </c>
      <c r="M645" s="19" t="str">
        <f>IFERROR(__xludf.DUMMYFUNCTION("""COMPUTED_VALUE"""),"PCM")</f>
        <v>PCM</v>
      </c>
      <c r="N645" s="19" t="str">
        <f>IFERROR(__xludf.DUMMYFUNCTION("""COMPUTED_VALUE"""),"PRIORIDAD 1 Q3 2023 OCTUBRE")</f>
        <v>PRIORIDAD 1 Q3 2023 OCTUBRE</v>
      </c>
    </row>
    <row r="646" ht="15.75" customHeight="1">
      <c r="A646" s="19" t="str">
        <f>IFERROR(__xludf.DUMMYFUNCTION("""COMPUTED_VALUE"""),"AB_5461")</f>
        <v>AB_5461</v>
      </c>
      <c r="B646" s="19" t="str">
        <f>IFERROR(__xludf.DUMMYFUNCTION("""COMPUTED_VALUE"""),"AB_5461_D")</f>
        <v>AB_5461_D</v>
      </c>
      <c r="C646" s="19" t="str">
        <f>IFERROR(__xludf.DUMMYFUNCTION("""COMPUTED_VALUE"""),"MG5461")</f>
        <v>MG5461</v>
      </c>
      <c r="D646" s="19" t="str">
        <f>IFERROR(__xludf.DUMMYFUNCTION("""COMPUTED_VALUE"""),"Aeropuerto Interior Punta Arenas")</f>
        <v>Aeropuerto Interior Punta Arenas</v>
      </c>
      <c r="E646" s="19" t="str">
        <f>IFERROR(__xludf.DUMMYFUNCTION("""COMPUTED_VALUE"""),"SITIO EN CONSTRUCCION")</f>
        <v>SITIO EN CONSTRUCCION</v>
      </c>
      <c r="F646" s="19" t="str">
        <f>IFERROR(__xludf.DUMMYFUNCTION("""COMPUTED_VALUE"""),"VISITA")</f>
        <v>VISITA</v>
      </c>
      <c r="G646" s="19" t="str">
        <f>IFERROR(__xludf.DUMMYFUNCTION("""COMPUTED_VALUE"""),"AS30 (H)")</f>
        <v>AS30 (H)</v>
      </c>
      <c r="H646" s="19" t="str">
        <f>IFERROR(__xludf.DUMMYFUNCTION("""COMPUTED_VALUE"""),"JTI")</f>
        <v>JTI</v>
      </c>
      <c r="I646" s="19" t="str">
        <f>IFERROR(__xludf.DUMMYFUNCTION("""COMPUTED_VALUE"""),"Entregada")</f>
        <v>Entregada</v>
      </c>
      <c r="J646" s="20">
        <f>IFERROR(__xludf.DUMMYFUNCTION("""COMPUTED_VALUE"""),45034.0)</f>
        <v>45034</v>
      </c>
      <c r="K646" s="19" t="str">
        <f>IFERROR(__xludf.DUMMYFUNCTION("""COMPUTED_VALUE"""),"Entregada")</f>
        <v>Entregada</v>
      </c>
      <c r="L646" s="20">
        <f>IFERROR(__xludf.DUMMYFUNCTION("""COMPUTED_VALUE"""),45034.0)</f>
        <v>45034</v>
      </c>
      <c r="M646" s="19" t="str">
        <f>IFERROR(__xludf.DUMMYFUNCTION("""COMPUTED_VALUE"""),"PP")</f>
        <v>PP</v>
      </c>
      <c r="N646" s="19" t="str">
        <f>IFERROR(__xludf.DUMMYFUNCTION("""COMPUTED_VALUE"""),"PRIORIDAD 3 Q1 2024 MARZO")</f>
        <v>PRIORIDAD 3 Q1 2024 MARZO</v>
      </c>
    </row>
    <row r="647" ht="15.75" customHeight="1">
      <c r="A647" s="19" t="str">
        <f>IFERROR(__xludf.DUMMYFUNCTION("""COMPUTED_VALUE"""),"AB_8801")</f>
        <v>AB_8801</v>
      </c>
      <c r="B647" s="19" t="str">
        <f>IFERROR(__xludf.DUMMYFUNCTION("""COMPUTED_VALUE"""),"AB_8801_A")</f>
        <v>AB_8801_A</v>
      </c>
      <c r="C647" s="19" t="str">
        <f>IFERROR(__xludf.DUMMYFUNCTION("""COMPUTED_VALUE"""),"MG8801")</f>
        <v>MG8801</v>
      </c>
      <c r="D647" s="19" t="str">
        <f>IFERROR(__xludf.DUMMYFUNCTION("""COMPUTED_VALUE"""),"Punta Delgada")</f>
        <v>Punta Delgada</v>
      </c>
      <c r="E647" s="19" t="str">
        <f>IFERROR(__xludf.DUMMYFUNCTION("""COMPUTED_VALUE"""),"SITIO RFI")</f>
        <v>SITIO RFI</v>
      </c>
      <c r="F647" s="19" t="str">
        <f>IFERROR(__xludf.DUMMYFUNCTION("""COMPUTED_VALUE"""),"RFI")</f>
        <v>RFI</v>
      </c>
      <c r="G647" s="19" t="str">
        <f>IFERROR(__xludf.DUMMYFUNCTION("""COMPUTED_VALUE"""),"CV60 (H)")</f>
        <v>CV60 (H)</v>
      </c>
      <c r="H647" s="19" t="str">
        <f>IFERROR(__xludf.DUMMYFUNCTION("""COMPUTED_VALUE"""),"AJ")</f>
        <v>AJ</v>
      </c>
      <c r="I647" s="19" t="str">
        <f>IFERROR(__xludf.DUMMYFUNCTION("""COMPUTED_VALUE"""),"Entregada")</f>
        <v>Entregada</v>
      </c>
      <c r="J647" s="20">
        <f>IFERROR(__xludf.DUMMYFUNCTION("""COMPUTED_VALUE"""),44698.0)</f>
        <v>44698</v>
      </c>
      <c r="K647" s="19" t="str">
        <f>IFERROR(__xludf.DUMMYFUNCTION("""COMPUTED_VALUE"""),"Entregada")</f>
        <v>Entregada</v>
      </c>
      <c r="L647" s="20">
        <f>IFERROR(__xludf.DUMMYFUNCTION("""COMPUTED_VALUE"""),44757.0)</f>
        <v>44757</v>
      </c>
      <c r="M647" s="19" t="str">
        <f>IFERROR(__xludf.DUMMYFUNCTION("""COMPUTED_VALUE"""),"PCM")</f>
        <v>PCM</v>
      </c>
      <c r="N647" s="19" t="str">
        <f>IFERROR(__xludf.DUMMYFUNCTION("""COMPUTED_VALUE"""),"PRIORIDAD 1 Q3 2023 OCTUBRE")</f>
        <v>PRIORIDAD 1 Q3 2023 OCTUBRE</v>
      </c>
    </row>
    <row r="648" ht="15.75" customHeight="1">
      <c r="A648" s="19" t="str">
        <f>IFERROR(__xludf.DUMMYFUNCTION("""COMPUTED_VALUE"""),"AB_9694")</f>
        <v>AB_9694</v>
      </c>
      <c r="B648" s="19" t="str">
        <f>IFERROR(__xludf.DUMMYFUNCTION("""COMPUTED_VALUE"""),"AB_9694_F")</f>
        <v>AB_9694_F</v>
      </c>
      <c r="C648" s="19" t="str">
        <f>IFERROR(__xludf.DUMMYFUNCTION("""COMPUTED_VALUE"""),"MA9694")</f>
        <v>MA9694</v>
      </c>
      <c r="D648" s="19" t="str">
        <f>IFERROR(__xludf.DUMMYFUNCTION("""COMPUTED_VALUE"""),"Las Garzas Rauco")</f>
        <v>Las Garzas Rauco</v>
      </c>
      <c r="E648" s="19" t="str">
        <f>IFERROR(__xludf.DUMMYFUNCTION("""COMPUTED_VALUE"""),"SITIO CONSTRUIDO")</f>
        <v>SITIO CONSTRUIDO</v>
      </c>
      <c r="F648" s="19" t="str">
        <f>IFERROR(__xludf.DUMMYFUNCTION("""COMPUTED_VALUE"""),"EXCAVACION")</f>
        <v>EXCAVACION</v>
      </c>
      <c r="G648" s="19" t="str">
        <f>IFERROR(__xludf.DUMMYFUNCTION("""COMPUTED_VALUE"""),"CV60")</f>
        <v>CV60</v>
      </c>
      <c r="H648" s="19" t="str">
        <f>IFERROR(__xludf.DUMMYFUNCTION("""COMPUTED_VALUE"""),"DEPROMET")</f>
        <v>DEPROMET</v>
      </c>
      <c r="I648" s="19" t="str">
        <f>IFERROR(__xludf.DUMMYFUNCTION("""COMPUTED_VALUE"""),"Terminada")</f>
        <v>Terminada</v>
      </c>
      <c r="J648" s="20">
        <f>IFERROR(__xludf.DUMMYFUNCTION("""COMPUTED_VALUE"""),44886.0)</f>
        <v>44886</v>
      </c>
      <c r="K648" s="19" t="str">
        <f>IFERROR(__xludf.DUMMYFUNCTION("""COMPUTED_VALUE"""),"Terminada")</f>
        <v>Terminada</v>
      </c>
      <c r="L648" s="20">
        <f>IFERROR(__xludf.DUMMYFUNCTION("""COMPUTED_VALUE"""),44911.0)</f>
        <v>44911</v>
      </c>
      <c r="M648" s="19" t="str">
        <f>IFERROR(__xludf.DUMMYFUNCTION("""COMPUTED_VALUE"""),"LLOO")</f>
        <v>LLOO</v>
      </c>
      <c r="N648" s="19" t="str">
        <f>IFERROR(__xludf.DUMMYFUNCTION("""COMPUTED_VALUE"""),"PRIORIDAD 1 Q3 2023 OCTUBRE")</f>
        <v>PRIORIDAD 1 Q3 2023 OCTUBRE</v>
      </c>
    </row>
    <row r="649" ht="15.75" customHeight="1">
      <c r="A649" s="19" t="str">
        <f>IFERROR(__xludf.DUMMYFUNCTION("""COMPUTED_VALUE"""),"AB_9448")</f>
        <v>AB_9448</v>
      </c>
      <c r="B649" s="19" t="str">
        <f>IFERROR(__xludf.DUMMYFUNCTION("""COMPUTED_VALUE"""),"AB_9448_A")</f>
        <v>AB_9448_A</v>
      </c>
      <c r="C649" s="19" t="str">
        <f>IFERROR(__xludf.DUMMYFUNCTION("""COMPUTED_VALUE"""),"MG9448")</f>
        <v>MG9448</v>
      </c>
      <c r="D649" s="19" t="str">
        <f>IFERROR(__xludf.DUMMYFUNCTION("""COMPUTED_VALUE"""),"Ruta 255 Josefina")</f>
        <v>Ruta 255 Josefina</v>
      </c>
      <c r="E649" s="19" t="str">
        <f>IFERROR(__xludf.DUMMYFUNCTION("""COMPUTED_VALUE"""),"SITIO RFI")</f>
        <v>SITIO RFI</v>
      </c>
      <c r="F649" s="19" t="str">
        <f>IFERROR(__xludf.DUMMYFUNCTION("""COMPUTED_VALUE"""),"MONTAJE")</f>
        <v>MONTAJE</v>
      </c>
      <c r="G649" s="19" t="str">
        <f>IFERROR(__xludf.DUMMYFUNCTION("""COMPUTED_VALUE"""),"AS60 (H)")</f>
        <v>AS60 (H)</v>
      </c>
      <c r="H649" s="19" t="str">
        <f>IFERROR(__xludf.DUMMYFUNCTION("""COMPUTED_VALUE"""),"MER")</f>
        <v>MER</v>
      </c>
      <c r="I649" s="19" t="str">
        <f>IFERROR(__xludf.DUMMYFUNCTION("""COMPUTED_VALUE"""),"Entregada")</f>
        <v>Entregada</v>
      </c>
      <c r="J649" s="20">
        <f>IFERROR(__xludf.DUMMYFUNCTION("""COMPUTED_VALUE"""),44883.0)</f>
        <v>44883</v>
      </c>
      <c r="K649" s="19" t="str">
        <f>IFERROR(__xludf.DUMMYFUNCTION("""COMPUTED_VALUE"""),"Entregada")</f>
        <v>Entregada</v>
      </c>
      <c r="L649" s="20">
        <f>IFERROR(__xludf.DUMMYFUNCTION("""COMPUTED_VALUE"""),44904.0)</f>
        <v>44904</v>
      </c>
      <c r="M649" s="19" t="str">
        <f>IFERROR(__xludf.DUMMYFUNCTION("""COMPUTED_VALUE"""),"PP")</f>
        <v>PP</v>
      </c>
      <c r="N649" s="19" t="str">
        <f>IFERROR(__xludf.DUMMYFUNCTION("""COMPUTED_VALUE"""),"PRIORIDAD 1 Q3 2023 OCTUBRE")</f>
        <v>PRIORIDAD 1 Q3 2023 OCTUBRE</v>
      </c>
    </row>
    <row r="650" ht="15.75" customHeight="1">
      <c r="A650" s="19" t="str">
        <f>IFERROR(__xludf.DUMMYFUNCTION("""COMPUTED_VALUE"""),"AB_9449")</f>
        <v>AB_9449</v>
      </c>
      <c r="B650" s="19" t="str">
        <f>IFERROR(__xludf.DUMMYFUNCTION("""COMPUTED_VALUE"""),"AB_9449_C")</f>
        <v>AB_9449_C</v>
      </c>
      <c r="C650" s="19" t="str">
        <f>IFERROR(__xludf.DUMMYFUNCTION("""COMPUTED_VALUE"""),"MG9449")</f>
        <v>MG9449</v>
      </c>
      <c r="D650" s="19" t="str">
        <f>IFERROR(__xludf.DUMMYFUNCTION("""COMPUTED_VALUE"""),"Ruta 255 Puerto Oazy")</f>
        <v>Ruta 255 Puerto Oazy</v>
      </c>
      <c r="E650" s="19" t="str">
        <f>IFERROR(__xludf.DUMMYFUNCTION("""COMPUTED_VALUE"""),"SITIO EN CONSTRUCCION")</f>
        <v>SITIO EN CONSTRUCCION</v>
      </c>
      <c r="F650" s="19" t="str">
        <f>IFERROR(__xludf.DUMMYFUNCTION("""COMPUTED_VALUE"""),"EXCAVACION")</f>
        <v>EXCAVACION</v>
      </c>
      <c r="G650" s="19" t="str">
        <f>IFERROR(__xludf.DUMMYFUNCTION("""COMPUTED_VALUE"""),"CV60 (H)")</f>
        <v>CV60 (H)</v>
      </c>
      <c r="H650" s="19" t="str">
        <f>IFERROR(__xludf.DUMMYFUNCTION("""COMPUTED_VALUE"""),"DEPROMET")</f>
        <v>DEPROMET</v>
      </c>
      <c r="I650" s="19" t="str">
        <f>IFERROR(__xludf.DUMMYFUNCTION("""COMPUTED_VALUE"""),"Entregada")</f>
        <v>Entregada</v>
      </c>
      <c r="J650" s="20">
        <f>IFERROR(__xludf.DUMMYFUNCTION("""COMPUTED_VALUE"""),45082.0)</f>
        <v>45082</v>
      </c>
      <c r="K650" s="19" t="str">
        <f>IFERROR(__xludf.DUMMYFUNCTION("""COMPUTED_VALUE"""),"Entregada")</f>
        <v>Entregada</v>
      </c>
      <c r="L650" s="20">
        <f>IFERROR(__xludf.DUMMYFUNCTION("""COMPUTED_VALUE"""),45082.0)</f>
        <v>45082</v>
      </c>
      <c r="M650" s="19" t="str">
        <f>IFERROR(__xludf.DUMMYFUNCTION("""COMPUTED_VALUE"""),"PP")</f>
        <v>PP</v>
      </c>
      <c r="N650" s="19" t="str">
        <f>IFERROR(__xludf.DUMMYFUNCTION("""COMPUTED_VALUE"""),"PRIORIDAD 1 Q3 2023 OCTUBRE")</f>
        <v>PRIORIDAD 1 Q3 2023 OCTUBRE</v>
      </c>
    </row>
    <row r="651" ht="15.75" customHeight="1">
      <c r="A651" s="19" t="str">
        <f>IFERROR(__xludf.DUMMYFUNCTION("""COMPUTED_VALUE"""),"AB_9450")</f>
        <v>AB_9450</v>
      </c>
      <c r="B651" s="19" t="str">
        <f>IFERROR(__xludf.DUMMYFUNCTION("""COMPUTED_VALUE"""),"AB_9450_G")</f>
        <v>AB_9450_G</v>
      </c>
      <c r="C651" s="19" t="str">
        <f>IFERROR(__xludf.DUMMYFUNCTION("""COMPUTED_VALUE"""),"MG9450")</f>
        <v>MG9450</v>
      </c>
      <c r="D651" s="19" t="str">
        <f>IFERROR(__xludf.DUMMYFUNCTION("""COMPUTED_VALUE"""),"Estancia San Gregorio")</f>
        <v>Estancia San Gregorio</v>
      </c>
      <c r="E651" s="19" t="str">
        <f>IFERROR(__xludf.DUMMYFUNCTION("""COMPUTED_VALUE"""),"SITIO RFI")</f>
        <v>SITIO RFI</v>
      </c>
      <c r="F651" s="19" t="str">
        <f>IFERROR(__xludf.DUMMYFUNCTION("""COMPUTED_VALUE"""),"RFI")</f>
        <v>RFI</v>
      </c>
      <c r="G651" s="19" t="str">
        <f>IFERROR(__xludf.DUMMYFUNCTION("""COMPUTED_VALUE"""),"CV60 (H)")</f>
        <v>CV60 (H)</v>
      </c>
      <c r="H651" s="19" t="str">
        <f>IFERROR(__xludf.DUMMYFUNCTION("""COMPUTED_VALUE"""),"REDSITE")</f>
        <v>REDSITE</v>
      </c>
      <c r="I651" s="19" t="str">
        <f>IFERROR(__xludf.DUMMYFUNCTION("""COMPUTED_VALUE"""),"Entregada")</f>
        <v>Entregada</v>
      </c>
      <c r="J651" s="20">
        <f>IFERROR(__xludf.DUMMYFUNCTION("""COMPUTED_VALUE"""),44764.0)</f>
        <v>44764</v>
      </c>
      <c r="K651" s="19" t="str">
        <f>IFERROR(__xludf.DUMMYFUNCTION("""COMPUTED_VALUE"""),"Entregada")</f>
        <v>Entregada</v>
      </c>
      <c r="L651" s="20">
        <f>IFERROR(__xludf.DUMMYFUNCTION("""COMPUTED_VALUE"""),44777.0)</f>
        <v>44777</v>
      </c>
      <c r="M651" s="19" t="str">
        <f>IFERROR(__xludf.DUMMYFUNCTION("""COMPUTED_VALUE"""),"PP")</f>
        <v>PP</v>
      </c>
      <c r="N651" s="19" t="str">
        <f>IFERROR(__xludf.DUMMYFUNCTION("""COMPUTED_VALUE"""),"PRIORIDAD 1 Q3 2023 OCTUBRE")</f>
        <v>PRIORIDAD 1 Q3 2023 OCTUBRE</v>
      </c>
    </row>
    <row r="652" ht="15.75" customHeight="1">
      <c r="A652" s="19" t="str">
        <f>IFERROR(__xludf.DUMMYFUNCTION("""COMPUTED_VALUE"""),"AB_9451")</f>
        <v>AB_9451</v>
      </c>
      <c r="B652" s="19" t="str">
        <f>IFERROR(__xludf.DUMMYFUNCTION("""COMPUTED_VALUE"""),"AB_9451_C")</f>
        <v>AB_9451_C</v>
      </c>
      <c r="C652" s="19" t="str">
        <f>IFERROR(__xludf.DUMMYFUNCTION("""COMPUTED_VALUE"""),"MG9451")</f>
        <v>MG9451</v>
      </c>
      <c r="D652" s="19" t="str">
        <f>IFERROR(__xludf.DUMMYFUNCTION("""COMPUTED_VALUE"""),"Bahia Gregorio")</f>
        <v>Bahia Gregorio</v>
      </c>
      <c r="E652" s="19" t="str">
        <f>IFERROR(__xludf.DUMMYFUNCTION("""COMPUTED_VALUE"""),"EN VALIDACION COMPRAS")</f>
        <v>EN VALIDACION COMPRAS</v>
      </c>
      <c r="F652" s="19"/>
      <c r="G652" s="19" t="str">
        <f>IFERROR(__xludf.DUMMYFUNCTION("""COMPUTED_VALUE"""),"CV60 (H)")</f>
        <v>CV60 (H)</v>
      </c>
      <c r="H652" s="19" t="str">
        <f>IFERROR(__xludf.DUMMYFUNCTION("""COMPUTED_VALUE"""),"DEPROMET")</f>
        <v>DEPROMET</v>
      </c>
      <c r="I652" s="19" t="str">
        <f>IFERROR(__xludf.DUMMYFUNCTION("""COMPUTED_VALUE"""),"Terminada")</f>
        <v>Terminada</v>
      </c>
      <c r="J652" s="20">
        <f>IFERROR(__xludf.DUMMYFUNCTION("""COMPUTED_VALUE"""),45082.0)</f>
        <v>45082</v>
      </c>
      <c r="K652" s="19" t="str">
        <f>IFERROR(__xludf.DUMMYFUNCTION("""COMPUTED_VALUE"""),"Terminada")</f>
        <v>Terminada</v>
      </c>
      <c r="L652" s="20">
        <f>IFERROR(__xludf.DUMMYFUNCTION("""COMPUTED_VALUE"""),45082.0)</f>
        <v>45082</v>
      </c>
      <c r="M652" s="19" t="str">
        <f>IFERROR(__xludf.DUMMYFUNCTION("""COMPUTED_VALUE"""),"PP")</f>
        <v>PP</v>
      </c>
      <c r="N652" s="19" t="str">
        <f>IFERROR(__xludf.DUMMYFUNCTION("""COMPUTED_VALUE"""),"PRIORIDAD 1 Q3 2023 OCTUBRE")</f>
        <v>PRIORIDAD 1 Q3 2023 OCTUBRE</v>
      </c>
    </row>
    <row r="653" ht="15.75" customHeight="1">
      <c r="A653" s="19" t="str">
        <f>IFERROR(__xludf.DUMMYFUNCTION("""COMPUTED_VALUE"""),"AB_9452")</f>
        <v>AB_9452</v>
      </c>
      <c r="B653" s="19" t="str">
        <f>IFERROR(__xludf.DUMMYFUNCTION("""COMPUTED_VALUE"""),"AB_9452_A")</f>
        <v>AB_9452_A</v>
      </c>
      <c r="C653" s="19" t="str">
        <f>IFERROR(__xludf.DUMMYFUNCTION("""COMPUTED_VALUE"""),"MG9452")</f>
        <v>MG9452</v>
      </c>
      <c r="D653" s="19" t="str">
        <f>IFERROR(__xludf.DUMMYFUNCTION("""COMPUTED_VALUE"""),"Estancia Alejandra")</f>
        <v>Estancia Alejandra</v>
      </c>
      <c r="E653" s="19" t="str">
        <f>IFERROR(__xludf.DUMMYFUNCTION("""COMPUTED_VALUE"""),"SITIO ASIGNADO")</f>
        <v>SITIO ASIGNADO</v>
      </c>
      <c r="F653" s="19"/>
      <c r="G653" s="19" t="str">
        <f>IFERROR(__xludf.DUMMYFUNCTION("""COMPUTED_VALUE"""),"AS60 (H)")</f>
        <v>AS60 (H)</v>
      </c>
      <c r="H653" s="19" t="str">
        <f>IFERROR(__xludf.DUMMYFUNCTION("""COMPUTED_VALUE"""),"MER")</f>
        <v>MER</v>
      </c>
      <c r="I653" s="19" t="str">
        <f>IFERROR(__xludf.DUMMYFUNCTION("""COMPUTED_VALUE"""),"Terminada")</f>
        <v>Terminada</v>
      </c>
      <c r="J653" s="20">
        <f>IFERROR(__xludf.DUMMYFUNCTION("""COMPUTED_VALUE"""),45012.0)</f>
        <v>45012</v>
      </c>
      <c r="K653" s="19" t="str">
        <f>IFERROR(__xludf.DUMMYFUNCTION("""COMPUTED_VALUE"""),"Por pintar ")</f>
        <v>Por pintar </v>
      </c>
      <c r="L653" s="20">
        <f>IFERROR(__xludf.DUMMYFUNCTION("""COMPUTED_VALUE"""),45012.0)</f>
        <v>45012</v>
      </c>
      <c r="M653" s="19" t="str">
        <f>IFERROR(__xludf.DUMMYFUNCTION("""COMPUTED_VALUE"""),"PP")</f>
        <v>PP</v>
      </c>
      <c r="N653" s="19" t="str">
        <f>IFERROR(__xludf.DUMMYFUNCTION("""COMPUTED_VALUE"""),"PRIORIDAD 1 Q3 2023 OCTUBRE")</f>
        <v>PRIORIDAD 1 Q3 2023 OCTUBRE</v>
      </c>
    </row>
    <row r="654" ht="15.75" customHeight="1">
      <c r="A654" s="19" t="str">
        <f>IFERROR(__xludf.DUMMYFUNCTION("""COMPUTED_VALUE"""),"AB_9453")</f>
        <v>AB_9453</v>
      </c>
      <c r="B654" s="19" t="str">
        <f>IFERROR(__xludf.DUMMYFUNCTION("""COMPUTED_VALUE"""),"AB_9453_A")</f>
        <v>AB_9453_A</v>
      </c>
      <c r="C654" s="19" t="str">
        <f>IFERROR(__xludf.DUMMYFUNCTION("""COMPUTED_VALUE"""),"MG9453")</f>
        <v>MG9453</v>
      </c>
      <c r="D654" s="19" t="str">
        <f>IFERROR(__xludf.DUMMYFUNCTION("""COMPUTED_VALUE"""),"Ruta 255 CH")</f>
        <v>Ruta 255 CH</v>
      </c>
      <c r="E654" s="19" t="str">
        <f>IFERROR(__xludf.DUMMYFUNCTION("""COMPUTED_VALUE"""),"SITIO ASIGNADO")</f>
        <v>SITIO ASIGNADO</v>
      </c>
      <c r="F654" s="19"/>
      <c r="G654" s="19" t="str">
        <f>IFERROR(__xludf.DUMMYFUNCTION("""COMPUTED_VALUE"""),"AS72 (H)")</f>
        <v>AS72 (H)</v>
      </c>
      <c r="H654" s="19" t="str">
        <f>IFERROR(__xludf.DUMMYFUNCTION("""COMPUTED_VALUE"""),"INGENIUS")</f>
        <v>INGENIUS</v>
      </c>
      <c r="I654" s="19" t="str">
        <f>IFERROR(__xludf.DUMMYFUNCTION("""COMPUTED_VALUE"""),"En fabricacion")</f>
        <v>En fabricacion</v>
      </c>
      <c r="J654" s="20">
        <f>IFERROR(__xludf.DUMMYFUNCTION("""COMPUTED_VALUE"""),45128.0)</f>
        <v>45128</v>
      </c>
      <c r="K654" s="19" t="str">
        <f>IFERROR(__xludf.DUMMYFUNCTION("""COMPUTED_VALUE"""),"En fabricacion")</f>
        <v>En fabricacion</v>
      </c>
      <c r="L654" s="20">
        <f>IFERROR(__xludf.DUMMYFUNCTION("""COMPUTED_VALUE"""),45163.0)</f>
        <v>45163</v>
      </c>
      <c r="M654" s="19" t="str">
        <f>IFERROR(__xludf.DUMMYFUNCTION("""COMPUTED_VALUE"""),"PP")</f>
        <v>PP</v>
      </c>
      <c r="N654" s="19" t="str">
        <f>IFERROR(__xludf.DUMMYFUNCTION("""COMPUTED_VALUE"""),"PRIORIDAD 1 Q3 2023 OCTUBRE")</f>
        <v>PRIORIDAD 1 Q3 2023 OCTUBRE</v>
      </c>
    </row>
    <row r="655" ht="15.75" customHeight="1">
      <c r="A655" s="19" t="str">
        <f>IFERROR(__xludf.DUMMYFUNCTION("""COMPUTED_VALUE"""),"AB_9454")</f>
        <v>AB_9454</v>
      </c>
      <c r="B655" s="19" t="str">
        <f>IFERROR(__xludf.DUMMYFUNCTION("""COMPUTED_VALUE"""),"AB_9454_C")</f>
        <v>AB_9454_C</v>
      </c>
      <c r="C655" s="19" t="str">
        <f>IFERROR(__xludf.DUMMYFUNCTION("""COMPUTED_VALUE"""),"MG9454")</f>
        <v>MG9454</v>
      </c>
      <c r="D655" s="19" t="str">
        <f>IFERROR(__xludf.DUMMYFUNCTION("""COMPUTED_VALUE"""),"Monte Aymond")</f>
        <v>Monte Aymond</v>
      </c>
      <c r="E655" s="19" t="str">
        <f>IFERROR(__xludf.DUMMYFUNCTION("""COMPUTED_VALUE"""),"SITIO PENDIENTE")</f>
        <v>SITIO PENDIENTE</v>
      </c>
      <c r="F655" s="19"/>
      <c r="G655" s="19" t="str">
        <f>IFERROR(__xludf.DUMMYFUNCTION("""COMPUTED_VALUE"""),"CV60 (H)")</f>
        <v>CV60 (H)</v>
      </c>
      <c r="H655" s="19" t="str">
        <f>IFERROR(__xludf.DUMMYFUNCTION("""COMPUTED_VALUE"""),"COMPRAS")</f>
        <v>COMPRAS</v>
      </c>
      <c r="I655" s="19"/>
      <c r="J655" s="20"/>
      <c r="K655" s="19"/>
      <c r="L655" s="20"/>
      <c r="M655" s="19" t="str">
        <f>IFERROR(__xludf.DUMMYFUNCTION("""COMPUTED_VALUE"""),"PP")</f>
        <v>PP</v>
      </c>
      <c r="N655" s="19" t="str">
        <f>IFERROR(__xludf.DUMMYFUNCTION("""COMPUTED_VALUE"""),"PRIORIDAD 3 Q1 2024 MARZO")</f>
        <v>PRIORIDAD 3 Q1 2024 MARZO</v>
      </c>
    </row>
    <row r="656" ht="15.75" customHeight="1">
      <c r="A656" s="19" t="str">
        <f>IFERROR(__xludf.DUMMYFUNCTION("""COMPUTED_VALUE"""),"AB_9881")</f>
        <v>AB_9881</v>
      </c>
      <c r="B656" s="19" t="str">
        <f>IFERROR(__xludf.DUMMYFUNCTION("""COMPUTED_VALUE"""),"AB_9881_A")</f>
        <v>AB_9881_A</v>
      </c>
      <c r="C656" s="19" t="str">
        <f>IFERROR(__xludf.DUMMYFUNCTION("""COMPUTED_VALUE"""),"MG9881")</f>
        <v>MG9881</v>
      </c>
      <c r="D656" s="19" t="str">
        <f>IFERROR(__xludf.DUMMYFUNCTION("""COMPUTED_VALUE"""),"LLOO Isla Riesco")</f>
        <v>LLOO Isla Riesco</v>
      </c>
      <c r="E656" s="19" t="str">
        <f>IFERROR(__xludf.DUMMYFUNCTION("""COMPUTED_VALUE"""),"DETENIDO CLIMA")</f>
        <v>DETENIDO CLIMA</v>
      </c>
      <c r="F656" s="19" t="str">
        <f>IFERROR(__xludf.DUMMYFUNCTION("""COMPUTED_VALUE"""),"VISITA")</f>
        <v>VISITA</v>
      </c>
      <c r="G656" s="19" t="str">
        <f>IFERROR(__xludf.DUMMYFUNCTION("""COMPUTED_VALUE"""),"CV72 (H)")</f>
        <v>CV72 (H)</v>
      </c>
      <c r="H656" s="19" t="str">
        <f>IFERROR(__xludf.DUMMYFUNCTION("""COMPUTED_VALUE"""),"MT")</f>
        <v>MT</v>
      </c>
      <c r="I656" s="19" t="str">
        <f>IFERROR(__xludf.DUMMYFUNCTION("""COMPUTED_VALUE"""),"Terminada")</f>
        <v>Terminada</v>
      </c>
      <c r="J656" s="19"/>
      <c r="K656" s="19" t="str">
        <f>IFERROR(__xludf.DUMMYFUNCTION("""COMPUTED_VALUE"""),"Por pintar ")</f>
        <v>Por pintar </v>
      </c>
      <c r="L656" s="20">
        <f>IFERROR(__xludf.DUMMYFUNCTION("""COMPUTED_VALUE"""),45000.0)</f>
        <v>45000</v>
      </c>
      <c r="M656" s="19" t="str">
        <f>IFERROR(__xludf.DUMMYFUNCTION("""COMPUTED_VALUE"""),"PCM")</f>
        <v>PCM</v>
      </c>
      <c r="N656" s="19" t="str">
        <f>IFERROR(__xludf.DUMMYFUNCTION("""COMPUTED_VALUE"""),"PRIORIDAD 1 Q3 2023 OCTUBRE")</f>
        <v>PRIORIDAD 1 Q3 2023 OCTUBRE</v>
      </c>
    </row>
    <row r="657" ht="15.75" customHeight="1">
      <c r="A657" s="19" t="str">
        <f>IFERROR(__xludf.DUMMYFUNCTION("""COMPUTED_VALUE"""),"AB_9697")</f>
        <v>AB_9697</v>
      </c>
      <c r="B657" s="19" t="str">
        <f>IFERROR(__xludf.DUMMYFUNCTION("""COMPUTED_VALUE"""),"AB_9697_C")</f>
        <v>AB_9697_C</v>
      </c>
      <c r="C657" s="19" t="str">
        <f>IFERROR(__xludf.DUMMYFUNCTION("""COMPUTED_VALUE"""),"MA9697")</f>
        <v>MA9697</v>
      </c>
      <c r="D657" s="19" t="str">
        <f>IFERROR(__xludf.DUMMYFUNCTION("""COMPUTED_VALUE"""),"Las Corrientes Constitucion")</f>
        <v>Las Corrientes Constitucion</v>
      </c>
      <c r="E657" s="19" t="str">
        <f>IFERROR(__xludf.DUMMYFUNCTION("""COMPUTED_VALUE"""),"SITIO RFI")</f>
        <v>SITIO RFI</v>
      </c>
      <c r="F657" s="19" t="str">
        <f>IFERROR(__xludf.DUMMYFUNCTION("""COMPUTED_VALUE"""),"CIERRE")</f>
        <v>CIERRE</v>
      </c>
      <c r="G657" s="19" t="str">
        <f>IFERROR(__xludf.DUMMYFUNCTION("""COMPUTED_VALUE"""),"CV60")</f>
        <v>CV60</v>
      </c>
      <c r="H657" s="19" t="str">
        <f>IFERROR(__xludf.DUMMYFUNCTION("""COMPUTED_VALUE"""),"DEPROMET")</f>
        <v>DEPROMET</v>
      </c>
      <c r="I657" s="19" t="str">
        <f>IFERROR(__xludf.DUMMYFUNCTION("""COMPUTED_VALUE"""),"Entregada")</f>
        <v>Entregada</v>
      </c>
      <c r="J657" s="20">
        <f>IFERROR(__xludf.DUMMYFUNCTION("""COMPUTED_VALUE"""),44886.0)</f>
        <v>44886</v>
      </c>
      <c r="K657" s="19" t="str">
        <f>IFERROR(__xludf.DUMMYFUNCTION("""COMPUTED_VALUE"""),"Entregada")</f>
        <v>Entregada</v>
      </c>
      <c r="L657" s="20">
        <f>IFERROR(__xludf.DUMMYFUNCTION("""COMPUTED_VALUE"""),44911.0)</f>
        <v>44911</v>
      </c>
      <c r="M657" s="19" t="str">
        <f>IFERROR(__xludf.DUMMYFUNCTION("""COMPUTED_VALUE"""),"LLOO")</f>
        <v>LLOO</v>
      </c>
      <c r="N657" s="19" t="str">
        <f>IFERROR(__xludf.DUMMYFUNCTION("""COMPUTED_VALUE"""),"PRIORIDAD 1 Q3 2023 OCTUBRE")</f>
        <v>PRIORIDAD 1 Q3 2023 OCTUBRE</v>
      </c>
    </row>
    <row r="658" ht="15.75" customHeight="1">
      <c r="A658" s="19" t="str">
        <f>IFERROR(__xludf.DUMMYFUNCTION("""COMPUTED_VALUE"""),"AB_9727")</f>
        <v>AB_9727</v>
      </c>
      <c r="B658" s="19" t="str">
        <f>IFERROR(__xludf.DUMMYFUNCTION("""COMPUTED_VALUE"""),"AB_9727_B")</f>
        <v>AB_9727_B</v>
      </c>
      <c r="C658" s="19" t="str">
        <f>IFERROR(__xludf.DUMMYFUNCTION("""COMPUTED_VALUE"""),"MA9727")</f>
        <v>MA9727</v>
      </c>
      <c r="D658" s="19" t="str">
        <f>IFERROR(__xludf.DUMMYFUNCTION("""COMPUTED_VALUE"""),"Lo Valdivia Curepto")</f>
        <v>Lo Valdivia Curepto</v>
      </c>
      <c r="E658" s="19" t="str">
        <f>IFERROR(__xludf.DUMMYFUNCTION("""COMPUTED_VALUE"""),"SITIO CONSTRUIDO")</f>
        <v>SITIO CONSTRUIDO</v>
      </c>
      <c r="F658" s="19" t="str">
        <f>IFERROR(__xludf.DUMMYFUNCTION("""COMPUTED_VALUE"""),"HORMIGONADO")</f>
        <v>HORMIGONADO</v>
      </c>
      <c r="G658" s="19" t="str">
        <f>IFERROR(__xludf.DUMMYFUNCTION("""COMPUTED_VALUE"""),"CV60")</f>
        <v>CV60</v>
      </c>
      <c r="H658" s="19" t="str">
        <f>IFERROR(__xludf.DUMMYFUNCTION("""COMPUTED_VALUE"""),"DEPROMET")</f>
        <v>DEPROMET</v>
      </c>
      <c r="I658" s="19" t="str">
        <f>IFERROR(__xludf.DUMMYFUNCTION("""COMPUTED_VALUE"""),"Entregada")</f>
        <v>Entregada</v>
      </c>
      <c r="J658" s="20">
        <f>IFERROR(__xludf.DUMMYFUNCTION("""COMPUTED_VALUE"""),44839.0)</f>
        <v>44839</v>
      </c>
      <c r="K658" s="19" t="str">
        <f>IFERROR(__xludf.DUMMYFUNCTION("""COMPUTED_VALUE"""),"Entregada")</f>
        <v>Entregada</v>
      </c>
      <c r="L658" s="20">
        <f>IFERROR(__xludf.DUMMYFUNCTION("""COMPUTED_VALUE"""),44847.0)</f>
        <v>44847</v>
      </c>
      <c r="M658" s="19" t="str">
        <f>IFERROR(__xludf.DUMMYFUNCTION("""COMPUTED_VALUE"""),"LLOO")</f>
        <v>LLOO</v>
      </c>
      <c r="N658" s="19" t="str">
        <f>IFERROR(__xludf.DUMMYFUNCTION("""COMPUTED_VALUE"""),"PRIORIDAD 1 Q3 2023 OCTUBRE")</f>
        <v>PRIORIDAD 1 Q3 2023 OCTUBRE</v>
      </c>
    </row>
    <row r="659" ht="15.75" customHeight="1">
      <c r="A659" s="19" t="str">
        <f>IFERROR(__xludf.DUMMYFUNCTION("""COMPUTED_VALUE"""),"AB_9733")</f>
        <v>AB_9733</v>
      </c>
      <c r="B659" s="19" t="str">
        <f>IFERROR(__xludf.DUMMYFUNCTION("""COMPUTED_VALUE"""),"AB_9733_A")</f>
        <v>AB_9733_A</v>
      </c>
      <c r="C659" s="19" t="str">
        <f>IFERROR(__xludf.DUMMYFUNCTION("""COMPUTED_VALUE"""),"MA9733")</f>
        <v>MA9733</v>
      </c>
      <c r="D659" s="19" t="str">
        <f>IFERROR(__xludf.DUMMYFUNCTION("""COMPUTED_VALUE"""),"Ruta K-40")</f>
        <v>Ruta K-40</v>
      </c>
      <c r="E659" s="19" t="str">
        <f>IFERROR(__xludf.DUMMYFUNCTION("""COMPUTED_VALUE"""),"SITIO CONSTRUIDO")</f>
        <v>SITIO CONSTRUIDO</v>
      </c>
      <c r="F659" s="19" t="str">
        <f>IFERROR(__xludf.DUMMYFUNCTION("""COMPUTED_VALUE"""),"ENFIERRADURA")</f>
        <v>ENFIERRADURA</v>
      </c>
      <c r="G659" s="19" t="str">
        <f>IFERROR(__xludf.DUMMYFUNCTION("""COMPUTED_VALUE"""),"AS60")</f>
        <v>AS60</v>
      </c>
      <c r="H659" s="19" t="str">
        <f>IFERROR(__xludf.DUMMYFUNCTION("""COMPUTED_VALUE"""),"DEITEL")</f>
        <v>DEITEL</v>
      </c>
      <c r="I659" s="19" t="str">
        <f>IFERROR(__xludf.DUMMYFUNCTION("""COMPUTED_VALUE"""),"Terminada")</f>
        <v>Terminada</v>
      </c>
      <c r="J659" s="20">
        <f>IFERROR(__xludf.DUMMYFUNCTION("""COMPUTED_VALUE"""),44854.0)</f>
        <v>44854</v>
      </c>
      <c r="K659" s="19" t="str">
        <f>IFERROR(__xludf.DUMMYFUNCTION("""COMPUTED_VALUE"""),"Terminada")</f>
        <v>Terminada</v>
      </c>
      <c r="L659" s="20">
        <f>IFERROR(__xludf.DUMMYFUNCTION("""COMPUTED_VALUE"""),44854.0)</f>
        <v>44854</v>
      </c>
      <c r="M659" s="19" t="str">
        <f>IFERROR(__xludf.DUMMYFUNCTION("""COMPUTED_VALUE"""),"LLOO")</f>
        <v>LLOO</v>
      </c>
      <c r="N659" s="19" t="str">
        <f>IFERROR(__xludf.DUMMYFUNCTION("""COMPUTED_VALUE"""),"PRIORIDAD 1 Q3 2023 OCTUBRE")</f>
        <v>PRIORIDAD 1 Q3 2023 OCTUBRE</v>
      </c>
    </row>
    <row r="660" ht="15.75" customHeight="1">
      <c r="A660" s="19" t="str">
        <f>IFERROR(__xludf.DUMMYFUNCTION("""COMPUTED_VALUE"""),"AB_9886")</f>
        <v>AB_9886</v>
      </c>
      <c r="B660" s="19" t="str">
        <f>IFERROR(__xludf.DUMMYFUNCTION("""COMPUTED_VALUE"""),"AB_9886_A")</f>
        <v>AB_9886_A</v>
      </c>
      <c r="C660" s="19" t="str">
        <f>IFERROR(__xludf.DUMMYFUNCTION("""COMPUTED_VALUE"""),"MG9886")</f>
        <v>MG9886</v>
      </c>
      <c r="D660" s="19" t="str">
        <f>IFERROR(__xludf.DUMMYFUNCTION("""COMPUTED_VALUE"""),"LLOO Base Bernardo O'Higgins")</f>
        <v>LLOO Base Bernardo O'Higgins</v>
      </c>
      <c r="E660" s="19" t="str">
        <f>IFERROR(__xludf.DUMMYFUNCTION("""COMPUTED_VALUE"""),"SITIO PENDIENTE")</f>
        <v>SITIO PENDIENTE</v>
      </c>
      <c r="F660" s="19"/>
      <c r="G660" s="19" t="str">
        <f>IFERROR(__xludf.DUMMYFUNCTION("""COMPUTED_VALUE"""),"x")</f>
        <v>x</v>
      </c>
      <c r="H660" s="19" t="str">
        <f>IFERROR(__xludf.DUMMYFUNCTION("""COMPUTED_VALUE"""),"x")</f>
        <v>x</v>
      </c>
      <c r="I660" s="19" t="str">
        <f>IFERROR(__xludf.DUMMYFUNCTION("""COMPUTED_VALUE"""),"x")</f>
        <v>x</v>
      </c>
      <c r="J660" s="20" t="str">
        <f>IFERROR(__xludf.DUMMYFUNCTION("""COMPUTED_VALUE"""),"x")</f>
        <v>x</v>
      </c>
      <c r="K660" s="19" t="str">
        <f>IFERROR(__xludf.DUMMYFUNCTION("""COMPUTED_VALUE"""),"x")</f>
        <v>x</v>
      </c>
      <c r="L660" s="20" t="str">
        <f>IFERROR(__xludf.DUMMYFUNCTION("""COMPUTED_VALUE"""),"x")</f>
        <v>x</v>
      </c>
      <c r="M660" s="19" t="str">
        <f>IFERROR(__xludf.DUMMYFUNCTION("""COMPUTED_VALUE"""),"LLOO")</f>
        <v>LLOO</v>
      </c>
      <c r="N660" s="19" t="str">
        <f>IFERROR(__xludf.DUMMYFUNCTION("""COMPUTED_VALUE"""),"PRIORIDAD 3 Q1 2024 MARZO")</f>
        <v>PRIORIDAD 3 Q1 2024 MARZO</v>
      </c>
    </row>
    <row r="661" ht="15.75" customHeight="1">
      <c r="A661" s="19" t="str">
        <f>IFERROR(__xludf.DUMMYFUNCTION("""COMPUTED_VALUE"""),"AB_9888")</f>
        <v>AB_9888</v>
      </c>
      <c r="B661" s="19" t="str">
        <f>IFERROR(__xludf.DUMMYFUNCTION("""COMPUTED_VALUE"""),"AB_9888_B")</f>
        <v>AB_9888_B</v>
      </c>
      <c r="C661" s="19" t="str">
        <f>IFERROR(__xludf.DUMMYFUNCTION("""COMPUTED_VALUE"""),"MG9888")</f>
        <v>MG9888</v>
      </c>
      <c r="D661" s="19" t="str">
        <f>IFERROR(__xludf.DUMMYFUNCTION("""COMPUTED_VALUE"""),"LLOO Caleta 2 de Mayo")</f>
        <v>LLOO Caleta 2 de Mayo</v>
      </c>
      <c r="E661" s="19" t="str">
        <f>IFERROR(__xludf.DUMMYFUNCTION("""COMPUTED_VALUE"""),"SITIO PENDIENTE")</f>
        <v>SITIO PENDIENTE</v>
      </c>
      <c r="F661" s="19"/>
      <c r="G661" s="19" t="str">
        <f>IFERROR(__xludf.DUMMYFUNCTION("""COMPUTED_VALUE"""),"CV60 (H)")</f>
        <v>CV60 (H)</v>
      </c>
      <c r="H661" s="19" t="str">
        <f>IFERROR(__xludf.DUMMYFUNCTION("""COMPUTED_VALUE"""),"COMPRAS")</f>
        <v>COMPRAS</v>
      </c>
      <c r="I661" s="19"/>
      <c r="J661" s="19"/>
      <c r="K661" s="19"/>
      <c r="L661" s="19"/>
      <c r="M661" s="19" t="str">
        <f>IFERROR(__xludf.DUMMYFUNCTION("""COMPUTED_VALUE"""),"PCM")</f>
        <v>PCM</v>
      </c>
      <c r="N661" s="19" t="str">
        <f>IFERROR(__xludf.DUMMYFUNCTION("""COMPUTED_VALUE"""),"PRIORIDAD 3 Q1 2024 MARZO")</f>
        <v>PRIORIDAD 3 Q1 2024 MARZO</v>
      </c>
    </row>
    <row r="662" ht="15.75" customHeight="1">
      <c r="A662" s="19" t="str">
        <f>IFERROR(__xludf.DUMMYFUNCTION("""COMPUTED_VALUE"""),"AB_9889")</f>
        <v>AB_9889</v>
      </c>
      <c r="B662" s="19" t="str">
        <f>IFERROR(__xludf.DUMMYFUNCTION("""COMPUTED_VALUE"""),"AB_9889_A")</f>
        <v>AB_9889_A</v>
      </c>
      <c r="C662" s="19" t="str">
        <f>IFERROR(__xludf.DUMMYFUNCTION("""COMPUTED_VALUE"""),"MG9889")</f>
        <v>MG9889</v>
      </c>
      <c r="D662" s="19" t="str">
        <f>IFERROR(__xludf.DUMMYFUNCTION("""COMPUTED_VALUE"""),"LLOO Bahia Azul")</f>
        <v>LLOO Bahia Azul</v>
      </c>
      <c r="E662" s="19" t="str">
        <f>IFERROR(__xludf.DUMMYFUNCTION("""COMPUTED_VALUE"""),"SITIO RFI")</f>
        <v>SITIO RFI</v>
      </c>
      <c r="F662" s="19" t="str">
        <f>IFERROR(__xludf.DUMMYFUNCTION("""COMPUTED_VALUE"""),"RFI")</f>
        <v>RFI</v>
      </c>
      <c r="G662" s="19" t="str">
        <f>IFERROR(__xludf.DUMMYFUNCTION("""COMPUTED_VALUE"""),"CV30 (H)")</f>
        <v>CV30 (H)</v>
      </c>
      <c r="H662" s="19" t="str">
        <f>IFERROR(__xludf.DUMMYFUNCTION("""COMPUTED_VALUE"""),"SYC")</f>
        <v>SYC</v>
      </c>
      <c r="I662" s="19" t="str">
        <f>IFERROR(__xludf.DUMMYFUNCTION("""COMPUTED_VALUE"""),"Entregada")</f>
        <v>Entregada</v>
      </c>
      <c r="J662" s="20">
        <f>IFERROR(__xludf.DUMMYFUNCTION("""COMPUTED_VALUE"""),44888.0)</f>
        <v>44888</v>
      </c>
      <c r="K662" s="19" t="str">
        <f>IFERROR(__xludf.DUMMYFUNCTION("""COMPUTED_VALUE"""),"Entregada")</f>
        <v>Entregada</v>
      </c>
      <c r="L662" s="20">
        <f>IFERROR(__xludf.DUMMYFUNCTION("""COMPUTED_VALUE"""),44890.0)</f>
        <v>44890</v>
      </c>
      <c r="M662" s="19" t="str">
        <f>IFERROR(__xludf.DUMMYFUNCTION("""COMPUTED_VALUE"""),"LLOO")</f>
        <v>LLOO</v>
      </c>
      <c r="N662" s="19" t="str">
        <f>IFERROR(__xludf.DUMMYFUNCTION("""COMPUTED_VALUE"""),"PRIORIDAD 1 Q3 2023 OCTUBRE")</f>
        <v>PRIORIDAD 1 Q3 2023 OCTUBRE</v>
      </c>
    </row>
    <row r="663" ht="15.75" customHeight="1">
      <c r="A663" s="19" t="str">
        <f>IFERROR(__xludf.DUMMYFUNCTION("""COMPUTED_VALUE"""),"AB_9890")</f>
        <v>AB_9890</v>
      </c>
      <c r="B663" s="19" t="str">
        <f>IFERROR(__xludf.DUMMYFUNCTION("""COMPUTED_VALUE"""),"AB_9890_B")</f>
        <v>AB_9890_B</v>
      </c>
      <c r="C663" s="19" t="str">
        <f>IFERROR(__xludf.DUMMYFUNCTION("""COMPUTED_VALUE"""),"MG9890")</f>
        <v>MG9890</v>
      </c>
      <c r="D663" s="19" t="str">
        <f>IFERROR(__xludf.DUMMYFUNCTION("""COMPUTED_VALUE"""),"LLOO Punta Dungenes")</f>
        <v>LLOO Punta Dungenes</v>
      </c>
      <c r="E663" s="19" t="str">
        <f>IFERROR(__xludf.DUMMYFUNCTION("""COMPUTED_VALUE"""),"DETENIDO SAC")</f>
        <v>DETENIDO SAC</v>
      </c>
      <c r="F663" s="19"/>
      <c r="G663" s="19" t="str">
        <f>IFERROR(__xludf.DUMMYFUNCTION("""COMPUTED_VALUE"""),"AS72 (H)")</f>
        <v>AS72 (H)</v>
      </c>
      <c r="H663" s="19" t="str">
        <f>IFERROR(__xludf.DUMMYFUNCTION("""COMPUTED_VALUE"""),"")</f>
        <v/>
      </c>
      <c r="I663" s="19" t="str">
        <f>IFERROR(__xludf.DUMMYFUNCTION("""COMPUTED_VALUE"""),"")</f>
        <v/>
      </c>
      <c r="J663" s="20" t="str">
        <f>IFERROR(__xludf.DUMMYFUNCTION("""COMPUTED_VALUE"""),"")</f>
        <v/>
      </c>
      <c r="K663" s="19" t="str">
        <f>IFERROR(__xludf.DUMMYFUNCTION("""COMPUTED_VALUE"""),"")</f>
        <v/>
      </c>
      <c r="L663" s="20" t="str">
        <f>IFERROR(__xludf.DUMMYFUNCTION("""COMPUTED_VALUE"""),"")</f>
        <v/>
      </c>
      <c r="M663" s="19" t="str">
        <f>IFERROR(__xludf.DUMMYFUNCTION("""COMPUTED_VALUE"""),"LLOO")</f>
        <v>LLOO</v>
      </c>
      <c r="N663" s="19" t="str">
        <f>IFERROR(__xludf.DUMMYFUNCTION("""COMPUTED_VALUE"""),"PRIORIDAD 3 Q1 2024 MARZO")</f>
        <v>PRIORIDAD 3 Q1 2024 MARZO</v>
      </c>
    </row>
    <row r="664" ht="15.75" customHeight="1">
      <c r="A664" s="19" t="str">
        <f>IFERROR(__xludf.DUMMYFUNCTION("""COMPUTED_VALUE"""),"AB_9809")</f>
        <v>AB_9809</v>
      </c>
      <c r="B664" s="19" t="str">
        <f>IFERROR(__xludf.DUMMYFUNCTION("""COMPUTED_VALUE"""),"AB_9809_D")</f>
        <v>AB_9809_D</v>
      </c>
      <c r="C664" s="19" t="str">
        <f>IFERROR(__xludf.DUMMYFUNCTION("""COMPUTED_VALUE"""),"MA9809")</f>
        <v>MA9809</v>
      </c>
      <c r="D664" s="19" t="str">
        <f>IFERROR(__xludf.DUMMYFUNCTION("""COMPUTED_VALUE"""),"Santa Ana de Queri LLOO")</f>
        <v>Santa Ana de Queri LLOO</v>
      </c>
      <c r="E664" s="19" t="str">
        <f>IFERROR(__xludf.DUMMYFUNCTION("""COMPUTED_VALUE"""),"SITIO RFI")</f>
        <v>SITIO RFI</v>
      </c>
      <c r="F664" s="19" t="str">
        <f>IFERROR(__xludf.DUMMYFUNCTION("""COMPUTED_VALUE"""),"CIERRE")</f>
        <v>CIERRE</v>
      </c>
      <c r="G664" s="19" t="str">
        <f>IFERROR(__xludf.DUMMYFUNCTION("""COMPUTED_VALUE"""),"AS48")</f>
        <v>AS48</v>
      </c>
      <c r="H664" s="19" t="str">
        <f>IFERROR(__xludf.DUMMYFUNCTION("""COMPUTED_VALUE"""),"ADM")</f>
        <v>ADM</v>
      </c>
      <c r="I664" s="19" t="str">
        <f>IFERROR(__xludf.DUMMYFUNCTION("""COMPUTED_VALUE"""),"Entregada")</f>
        <v>Entregada</v>
      </c>
      <c r="J664" s="20">
        <f>IFERROR(__xludf.DUMMYFUNCTION("""COMPUTED_VALUE"""),44750.0)</f>
        <v>44750</v>
      </c>
      <c r="K664" s="19" t="str">
        <f>IFERROR(__xludf.DUMMYFUNCTION("""COMPUTED_VALUE"""),"Entregada")</f>
        <v>Entregada</v>
      </c>
      <c r="L664" s="20">
        <f>IFERROR(__xludf.DUMMYFUNCTION("""COMPUTED_VALUE"""),44785.0)</f>
        <v>44785</v>
      </c>
      <c r="M664" s="19" t="str">
        <f>IFERROR(__xludf.DUMMYFUNCTION("""COMPUTED_VALUE"""),"LLOO")</f>
        <v>LLOO</v>
      </c>
      <c r="N664" s="19" t="str">
        <f>IFERROR(__xludf.DUMMYFUNCTION("""COMPUTED_VALUE"""),"PRIORIDAD 1 Q3 2023 OCTUBRE")</f>
        <v>PRIORIDAD 1 Q3 2023 OCTUBRE</v>
      </c>
    </row>
    <row r="665" ht="15.75" customHeight="1">
      <c r="A665" s="19" t="str">
        <f>IFERROR(__xludf.DUMMYFUNCTION("""COMPUTED_VALUE"""),"AB_9447")</f>
        <v>AB_9447</v>
      </c>
      <c r="B665" s="19" t="str">
        <f>IFERROR(__xludf.DUMMYFUNCTION("""COMPUTED_VALUE"""),"AB_9447_A")</f>
        <v>AB_9447_A</v>
      </c>
      <c r="C665" s="19" t="str">
        <f>IFERROR(__xludf.DUMMYFUNCTION("""COMPUTED_VALUE"""),"MG9447")</f>
        <v>MG9447</v>
      </c>
      <c r="D665" s="19" t="str">
        <f>IFERROR(__xludf.DUMMYFUNCTION("""COMPUTED_VALUE"""),"Morro Chico")</f>
        <v>Morro Chico</v>
      </c>
      <c r="E665" s="19" t="str">
        <f>IFERROR(__xludf.DUMMYFUNCTION("""COMPUTED_VALUE"""),"SITIO CONSTRUIDO")</f>
        <v>SITIO CONSTRUIDO</v>
      </c>
      <c r="F665" s="19" t="str">
        <f>IFERROR(__xludf.DUMMYFUNCTION("""COMPUTED_VALUE"""),"ENFIERRADURA")</f>
        <v>ENFIERRADURA</v>
      </c>
      <c r="G665" s="19" t="str">
        <f>IFERROR(__xludf.DUMMYFUNCTION("""COMPUTED_VALUE"""),"AS60")</f>
        <v>AS60</v>
      </c>
      <c r="H665" s="19" t="str">
        <f>IFERROR(__xludf.DUMMYFUNCTION("""COMPUTED_VALUE"""),"MER")</f>
        <v>MER</v>
      </c>
      <c r="I665" s="19" t="str">
        <f>IFERROR(__xludf.DUMMYFUNCTION("""COMPUTED_VALUE"""),"Entregada")</f>
        <v>Entregada</v>
      </c>
      <c r="J665" s="20">
        <f>IFERROR(__xludf.DUMMYFUNCTION("""COMPUTED_VALUE"""),44722.0)</f>
        <v>44722</v>
      </c>
      <c r="K665" s="19" t="str">
        <f>IFERROR(__xludf.DUMMYFUNCTION("""COMPUTED_VALUE"""),"Entregada")</f>
        <v>Entregada</v>
      </c>
      <c r="L665" s="20">
        <f>IFERROR(__xludf.DUMMYFUNCTION("""COMPUTED_VALUE"""),44736.0)</f>
        <v>44736</v>
      </c>
      <c r="M665" s="19" t="str">
        <f>IFERROR(__xludf.DUMMYFUNCTION("""COMPUTED_VALUE"""),"PCM")</f>
        <v>PCM</v>
      </c>
      <c r="N665" s="19" t="str">
        <f>IFERROR(__xludf.DUMMYFUNCTION("""COMPUTED_VALUE"""),"PRIORIDAD 1 Q3 2023 OCTUBRE")</f>
        <v>PRIORIDAD 1 Q3 2023 OCTUBRE</v>
      </c>
    </row>
    <row r="666" ht="15.75" customHeight="1">
      <c r="A666" s="19" t="str">
        <f>IFERROR(__xludf.DUMMYFUNCTION("""COMPUTED_VALUE"""),"AB_9936")</f>
        <v>AB_9936</v>
      </c>
      <c r="B666" s="19" t="str">
        <f>IFERROR(__xludf.DUMMYFUNCTION("""COMPUTED_VALUE"""),"AB_9936_C")</f>
        <v>AB_9936_C</v>
      </c>
      <c r="C666" s="19" t="str">
        <f>IFERROR(__xludf.DUMMYFUNCTION("""COMPUTED_VALUE"""),"MG9936")</f>
        <v>MG9936</v>
      </c>
      <c r="D666" s="19" t="str">
        <f>IFERROR(__xludf.DUMMYFUNCTION("""COMPUTED_VALUE"""),"Estancia Rio Tranquilo")</f>
        <v>Estancia Rio Tranquilo</v>
      </c>
      <c r="E666" s="19" t="str">
        <f>IFERROR(__xludf.DUMMYFUNCTION("""COMPUTED_VALUE"""),"SITIO EN CONSTRUCCION")</f>
        <v>SITIO EN CONSTRUCCION</v>
      </c>
      <c r="F666" s="19" t="str">
        <f>IFERROR(__xludf.DUMMYFUNCTION("""COMPUTED_VALUE"""),"ENFIERRADURA")</f>
        <v>ENFIERRADURA</v>
      </c>
      <c r="G666" s="19" t="str">
        <f>IFERROR(__xludf.DUMMYFUNCTION("""COMPUTED_VALUE"""),"AS60 (H)")</f>
        <v>AS60 (H)</v>
      </c>
      <c r="H666" s="19" t="str">
        <f>IFERROR(__xludf.DUMMYFUNCTION("""COMPUTED_VALUE"""),"MER")</f>
        <v>MER</v>
      </c>
      <c r="I666" s="19" t="str">
        <f>IFERROR(__xludf.DUMMYFUNCTION("""COMPUTED_VALUE"""),"Terminada")</f>
        <v>Terminada</v>
      </c>
      <c r="J666" s="20">
        <f>IFERROR(__xludf.DUMMYFUNCTION("""COMPUTED_VALUE"""),45012.0)</f>
        <v>45012</v>
      </c>
      <c r="K666" s="19" t="str">
        <f>IFERROR(__xludf.DUMMYFUNCTION("""COMPUTED_VALUE"""),"Por pintar ")</f>
        <v>Por pintar </v>
      </c>
      <c r="L666" s="20">
        <f>IFERROR(__xludf.DUMMYFUNCTION("""COMPUTED_VALUE"""),45012.0)</f>
        <v>45012</v>
      </c>
      <c r="M666" s="19" t="str">
        <f>IFERROR(__xludf.DUMMYFUNCTION("""COMPUTED_VALUE"""),"PP")</f>
        <v>PP</v>
      </c>
      <c r="N666" s="19" t="str">
        <f>IFERROR(__xludf.DUMMYFUNCTION("""COMPUTED_VALUE"""),"PRIORIDAD 1 Q3 2023 OCTUBRE")</f>
        <v>PRIORIDAD 1 Q3 2023 OCTUBRE</v>
      </c>
    </row>
    <row r="667" ht="15.75" customHeight="1">
      <c r="A667" s="19" t="str">
        <f>IFERROR(__xludf.DUMMYFUNCTION("""COMPUTED_VALUE"""),"AB_9937")</f>
        <v>AB_9937</v>
      </c>
      <c r="B667" s="19" t="str">
        <f>IFERROR(__xludf.DUMMYFUNCTION("""COMPUTED_VALUE"""),"AB_9937_F")</f>
        <v>AB_9937_F</v>
      </c>
      <c r="C667" s="19" t="str">
        <f>IFERROR(__xludf.DUMMYFUNCTION("""COMPUTED_VALUE"""),"MG9937")</f>
        <v>MG9937</v>
      </c>
      <c r="D667" s="19" t="str">
        <f>IFERROR(__xludf.DUMMYFUNCTION("""COMPUTED_VALUE"""),"Central ruta 9")</f>
        <v>Central ruta 9</v>
      </c>
      <c r="E667" s="19" t="str">
        <f>IFERROR(__xludf.DUMMYFUNCTION("""COMPUTED_VALUE"""),"SITIO EN CONSTRUCCION")</f>
        <v>SITIO EN CONSTRUCCION</v>
      </c>
      <c r="F667" s="19" t="str">
        <f>IFERROR(__xludf.DUMMYFUNCTION("""COMPUTED_VALUE"""),"EXCAVACION")</f>
        <v>EXCAVACION</v>
      </c>
      <c r="G667" s="19" t="str">
        <f>IFERROR(__xludf.DUMMYFUNCTION("""COMPUTED_VALUE"""),"AS60 (H)")</f>
        <v>AS60 (H)</v>
      </c>
      <c r="H667" s="19" t="str">
        <f>IFERROR(__xludf.DUMMYFUNCTION("""COMPUTED_VALUE"""),"MER")</f>
        <v>MER</v>
      </c>
      <c r="I667" s="19" t="str">
        <f>IFERROR(__xludf.DUMMYFUNCTION("""COMPUTED_VALUE"""),"Terminada")</f>
        <v>Terminada</v>
      </c>
      <c r="J667" s="20">
        <f>IFERROR(__xludf.DUMMYFUNCTION("""COMPUTED_VALUE"""),45012.0)</f>
        <v>45012</v>
      </c>
      <c r="K667" s="19" t="str">
        <f>IFERROR(__xludf.DUMMYFUNCTION("""COMPUTED_VALUE"""),"Por pintar ")</f>
        <v>Por pintar </v>
      </c>
      <c r="L667" s="20">
        <f>IFERROR(__xludf.DUMMYFUNCTION("""COMPUTED_VALUE"""),45012.0)</f>
        <v>45012</v>
      </c>
      <c r="M667" s="19" t="str">
        <f>IFERROR(__xludf.DUMMYFUNCTION("""COMPUTED_VALUE"""),"PP")</f>
        <v>PP</v>
      </c>
      <c r="N667" s="19" t="str">
        <f>IFERROR(__xludf.DUMMYFUNCTION("""COMPUTED_VALUE"""),"PRIORIDAD 1 Q3 2023 OCTUBRE")</f>
        <v>PRIORIDAD 1 Q3 2023 OCTUBRE</v>
      </c>
    </row>
    <row r="668" ht="15.75" customHeight="1">
      <c r="A668" s="19" t="str">
        <f>IFERROR(__xludf.DUMMYFUNCTION("""COMPUTED_VALUE"""),"AB_9938")</f>
        <v>AB_9938</v>
      </c>
      <c r="B668" s="19" t="str">
        <f>IFERROR(__xludf.DUMMYFUNCTION("""COMPUTED_VALUE"""),"AB_9938_C")</f>
        <v>AB_9938_C</v>
      </c>
      <c r="C668" s="19" t="str">
        <f>IFERROR(__xludf.DUMMYFUNCTION("""COMPUTED_VALUE"""),"MG9938")</f>
        <v>MG9938</v>
      </c>
      <c r="D668" s="19" t="str">
        <f>IFERROR(__xludf.DUMMYFUNCTION("""COMPUTED_VALUE"""),"Lago Diana")</f>
        <v>Lago Diana</v>
      </c>
      <c r="E668" s="19" t="str">
        <f>IFERROR(__xludf.DUMMYFUNCTION("""COMPUTED_VALUE"""),"DETENIDO FUERA DE PLAN")</f>
        <v>DETENIDO FUERA DE PLAN</v>
      </c>
      <c r="F668" s="19"/>
      <c r="G668" s="19" t="str">
        <f>IFERROR(__xludf.DUMMYFUNCTION("""COMPUTED_VALUE"""),"AS60 (H)")</f>
        <v>AS60 (H)</v>
      </c>
      <c r="H668" s="19" t="str">
        <f>IFERROR(__xludf.DUMMYFUNCTION("""COMPUTED_VALUE"""),"COMPRAS")</f>
        <v>COMPRAS</v>
      </c>
      <c r="I668" s="19"/>
      <c r="J668" s="19"/>
      <c r="K668" s="19"/>
      <c r="L668" s="19"/>
      <c r="M668" s="19" t="str">
        <f>IFERROR(__xludf.DUMMYFUNCTION("""COMPUTED_VALUE"""),"PP")</f>
        <v>PP</v>
      </c>
      <c r="N668" s="19" t="str">
        <f>IFERROR(__xludf.DUMMYFUNCTION("""COMPUTED_VALUE"""),"PRIORIDAD 3 Q1 2024 MARZO")</f>
        <v>PRIORIDAD 3 Q1 2024 MARZO</v>
      </c>
    </row>
    <row r="669" ht="15.75" customHeight="1">
      <c r="A669" s="19" t="str">
        <f>IFERROR(__xludf.DUMMYFUNCTION("""COMPUTED_VALUE"""),"AB_9939")</f>
        <v>AB_9939</v>
      </c>
      <c r="B669" s="19" t="str">
        <f>IFERROR(__xludf.DUMMYFUNCTION("""COMPUTED_VALUE"""),"AB_9939_A")</f>
        <v>AB_9939_A</v>
      </c>
      <c r="C669" s="19" t="str">
        <f>IFERROR(__xludf.DUMMYFUNCTION("""COMPUTED_VALUE"""),"MG9939")</f>
        <v>MG9939</v>
      </c>
      <c r="D669" s="19" t="str">
        <f>IFERROR(__xludf.DUMMYFUNCTION("""COMPUTED_VALUE"""),"Morro Chico Natales")</f>
        <v>Morro Chico Natales</v>
      </c>
      <c r="E669" s="19" t="str">
        <f>IFERROR(__xludf.DUMMYFUNCTION("""COMPUTED_VALUE"""),"SITIO ASIGNADO")</f>
        <v>SITIO ASIGNADO</v>
      </c>
      <c r="F669" s="19"/>
      <c r="G669" s="19" t="str">
        <f>IFERROR(__xludf.DUMMYFUNCTION("""COMPUTED_VALUE"""),"CV60 (H)")</f>
        <v>CV60 (H)</v>
      </c>
      <c r="H669" s="19" t="str">
        <f>IFERROR(__xludf.DUMMYFUNCTION("""COMPUTED_VALUE"""),"DEPROMET")</f>
        <v>DEPROMET</v>
      </c>
      <c r="I669" s="19" t="str">
        <f>IFERROR(__xludf.DUMMYFUNCTION("""COMPUTED_VALUE"""),"Asignada")</f>
        <v>Asignada</v>
      </c>
      <c r="J669" s="20">
        <f>IFERROR(__xludf.DUMMYFUNCTION("""COMPUTED_VALUE"""),45082.0)</f>
        <v>45082</v>
      </c>
      <c r="K669" s="19" t="str">
        <f>IFERROR(__xludf.DUMMYFUNCTION("""COMPUTED_VALUE"""),"Asignada")</f>
        <v>Asignada</v>
      </c>
      <c r="L669" s="20">
        <f>IFERROR(__xludf.DUMMYFUNCTION("""COMPUTED_VALUE"""),45082.0)</f>
        <v>45082</v>
      </c>
      <c r="M669" s="19" t="str">
        <f>IFERROR(__xludf.DUMMYFUNCTION("""COMPUTED_VALUE"""),"PP")</f>
        <v>PP</v>
      </c>
      <c r="N669" s="19" t="str">
        <f>IFERROR(__xludf.DUMMYFUNCTION("""COMPUTED_VALUE"""),"PRIORIDAD 1 Q3 2023 OCTUBRE")</f>
        <v>PRIORIDAD 1 Q3 2023 OCTUBRE</v>
      </c>
    </row>
    <row r="670" ht="15.75" customHeight="1">
      <c r="A670" s="19" t="str">
        <f>IFERROR(__xludf.DUMMYFUNCTION("""COMPUTED_VALUE"""),"AB_9940")</f>
        <v>AB_9940</v>
      </c>
      <c r="B670" s="19" t="str">
        <f>IFERROR(__xludf.DUMMYFUNCTION("""COMPUTED_VALUE"""),"AB_9940_B")</f>
        <v>AB_9940_B</v>
      </c>
      <c r="C670" s="19" t="str">
        <f>IFERROR(__xludf.DUMMYFUNCTION("""COMPUTED_VALUE"""),"MG9940")</f>
        <v>MG9940</v>
      </c>
      <c r="D670" s="19" t="str">
        <f>IFERROR(__xludf.DUMMYFUNCTION("""COMPUTED_VALUE"""),"Potrero Estancia El Arroyo")</f>
        <v>Potrero Estancia El Arroyo</v>
      </c>
      <c r="E670" s="19" t="str">
        <f>IFERROR(__xludf.DUMMYFUNCTION("""COMPUTED_VALUE"""),"DETENIDO COMPRA ESTRUCTURA")</f>
        <v>DETENIDO COMPRA ESTRUCTURA</v>
      </c>
      <c r="F670" s="19"/>
      <c r="G670" s="19" t="str">
        <f>IFERROR(__xludf.DUMMYFUNCTION("""COMPUTED_VALUE"""),"AS48 (H)")</f>
        <v>AS48 (H)</v>
      </c>
      <c r="H670" s="19" t="str">
        <f>IFERROR(__xludf.DUMMYFUNCTION("""COMPUTED_VALUE"""),"COMPRAS")</f>
        <v>COMPRAS</v>
      </c>
      <c r="I670" s="19"/>
      <c r="J670" s="19"/>
      <c r="K670" s="19"/>
      <c r="L670" s="19"/>
      <c r="M670" s="19" t="str">
        <f>IFERROR(__xludf.DUMMYFUNCTION("""COMPUTED_VALUE"""),"PP")</f>
        <v>PP</v>
      </c>
      <c r="N670" s="19" t="str">
        <f>IFERROR(__xludf.DUMMYFUNCTION("""COMPUTED_VALUE"""),"PRIORIDAD 3 Q1 2024 MARZO")</f>
        <v>PRIORIDAD 3 Q1 2024 MARZO</v>
      </c>
    </row>
    <row r="671" ht="15.75" customHeight="1">
      <c r="A671" s="19" t="str">
        <f>IFERROR(__xludf.DUMMYFUNCTION("""COMPUTED_VALUE"""),"AB_9942")</f>
        <v>AB_9942</v>
      </c>
      <c r="B671" s="19" t="str">
        <f>IFERROR(__xludf.DUMMYFUNCTION("""COMPUTED_VALUE"""),"AB_9942_A")</f>
        <v>AB_9942_A</v>
      </c>
      <c r="C671" s="19" t="str">
        <f>IFERROR(__xludf.DUMMYFUNCTION("""COMPUTED_VALUE"""),"MG9942")</f>
        <v>MG9942</v>
      </c>
      <c r="D671" s="19" t="str">
        <f>IFERROR(__xludf.DUMMYFUNCTION("""COMPUTED_VALUE"""),"Laguna Blanca Sur")</f>
        <v>Laguna Blanca Sur</v>
      </c>
      <c r="E671" s="19" t="str">
        <f>IFERROR(__xludf.DUMMYFUNCTION("""COMPUTED_VALUE"""),"DETENIDO FUERA DE PLAN")</f>
        <v>DETENIDO FUERA DE PLAN</v>
      </c>
      <c r="F671" s="19"/>
      <c r="G671" s="19" t="str">
        <f>IFERROR(__xludf.DUMMYFUNCTION("""COMPUTED_VALUE"""),"x")</f>
        <v>x</v>
      </c>
      <c r="H671" s="19" t="str">
        <f>IFERROR(__xludf.DUMMYFUNCTION("""COMPUTED_VALUE"""),"x")</f>
        <v>x</v>
      </c>
      <c r="I671" s="19" t="str">
        <f>IFERROR(__xludf.DUMMYFUNCTION("""COMPUTED_VALUE"""),"x")</f>
        <v>x</v>
      </c>
      <c r="J671" s="20" t="str">
        <f>IFERROR(__xludf.DUMMYFUNCTION("""COMPUTED_VALUE"""),"x")</f>
        <v>x</v>
      </c>
      <c r="K671" s="19" t="str">
        <f>IFERROR(__xludf.DUMMYFUNCTION("""COMPUTED_VALUE"""),"x")</f>
        <v>x</v>
      </c>
      <c r="L671" s="20" t="str">
        <f>IFERROR(__xludf.DUMMYFUNCTION("""COMPUTED_VALUE"""),"x")</f>
        <v>x</v>
      </c>
      <c r="M671" s="19" t="str">
        <f>IFERROR(__xludf.DUMMYFUNCTION("""COMPUTED_VALUE"""),"PP")</f>
        <v>PP</v>
      </c>
      <c r="N671" s="19" t="str">
        <f>IFERROR(__xludf.DUMMYFUNCTION("""COMPUTED_VALUE"""),"PRIORIDAD 3 Q1 2024 MARZO")</f>
        <v>PRIORIDAD 3 Q1 2024 MARZO</v>
      </c>
    </row>
    <row r="672" ht="15.75" customHeight="1">
      <c r="A672" s="19" t="str">
        <f>IFERROR(__xludf.DUMMYFUNCTION("""COMPUTED_VALUE"""),"AB_9944")</f>
        <v>AB_9944</v>
      </c>
      <c r="B672" s="19" t="str">
        <f>IFERROR(__xludf.DUMMYFUNCTION("""COMPUTED_VALUE"""),"AB_9944_A")</f>
        <v>AB_9944_A</v>
      </c>
      <c r="C672" s="19" t="str">
        <f>IFERROR(__xludf.DUMMYFUNCTION("""COMPUTED_VALUE"""),"MG9944")</f>
        <v>MG9944</v>
      </c>
      <c r="D672" s="19" t="str">
        <f>IFERROR(__xludf.DUMMYFUNCTION("""COMPUTED_VALUE"""),"Ruta Laguna de los Palos")</f>
        <v>Ruta Laguna de los Palos</v>
      </c>
      <c r="E672" s="19" t="str">
        <f>IFERROR(__xludf.DUMMYFUNCTION("""COMPUTED_VALUE"""),"EN VALIDACION COMPRAS")</f>
        <v>EN VALIDACION COMPRAS</v>
      </c>
      <c r="F672" s="19"/>
      <c r="G672" s="19" t="str">
        <f>IFERROR(__xludf.DUMMYFUNCTION("""COMPUTED_VALUE"""),"CV60 (H)")</f>
        <v>CV60 (H)</v>
      </c>
      <c r="H672" s="19" t="str">
        <f>IFERROR(__xludf.DUMMYFUNCTION("""COMPUTED_VALUE"""),"DEPROMET")</f>
        <v>DEPROMET</v>
      </c>
      <c r="I672" s="19" t="str">
        <f>IFERROR(__xludf.DUMMYFUNCTION("""COMPUTED_VALUE"""),"Asignada")</f>
        <v>Asignada</v>
      </c>
      <c r="J672" s="20">
        <f>IFERROR(__xludf.DUMMYFUNCTION("""COMPUTED_VALUE"""),45163.0)</f>
        <v>45163</v>
      </c>
      <c r="K672" s="19" t="str">
        <f>IFERROR(__xludf.DUMMYFUNCTION("""COMPUTED_VALUE"""),"Asignada")</f>
        <v>Asignada</v>
      </c>
      <c r="L672" s="20">
        <f>IFERROR(__xludf.DUMMYFUNCTION("""COMPUTED_VALUE"""),45170.0)</f>
        <v>45170</v>
      </c>
      <c r="M672" s="19" t="str">
        <f>IFERROR(__xludf.DUMMYFUNCTION("""COMPUTED_VALUE"""),"PP")</f>
        <v>PP</v>
      </c>
      <c r="N672" s="19" t="str">
        <f>IFERROR(__xludf.DUMMYFUNCTION("""COMPUTED_VALUE"""),"PRIORIDAD 1 Q3 2023 OCTUBRE")</f>
        <v>PRIORIDAD 1 Q3 2023 OCTUBRE</v>
      </c>
    </row>
    <row r="673" ht="15.75" customHeight="1">
      <c r="A673" s="19" t="str">
        <f>IFERROR(__xludf.DUMMYFUNCTION("""COMPUTED_VALUE"""),"AB_9945")</f>
        <v>AB_9945</v>
      </c>
      <c r="B673" s="19" t="str">
        <f>IFERROR(__xludf.DUMMYFUNCTION("""COMPUTED_VALUE"""),"AB_9945_B")</f>
        <v>AB_9945_B</v>
      </c>
      <c r="C673" s="19" t="str">
        <f>IFERROR(__xludf.DUMMYFUNCTION("""COMPUTED_VALUE"""),"MG9945")</f>
        <v>MG9945</v>
      </c>
      <c r="D673" s="19" t="str">
        <f>IFERROR(__xludf.DUMMYFUNCTION("""COMPUTED_VALUE"""),"Laguna de los Palos Norte")</f>
        <v>Laguna de los Palos Norte</v>
      </c>
      <c r="E673" s="19" t="str">
        <f>IFERROR(__xludf.DUMMYFUNCTION("""COMPUTED_VALUE"""),"DETENIDO FUERA DE PLAN")</f>
        <v>DETENIDO FUERA DE PLAN</v>
      </c>
      <c r="F673" s="19"/>
      <c r="G673" s="19" t="str">
        <f>IFERROR(__xludf.DUMMYFUNCTION("""COMPUTED_VALUE"""),"x")</f>
        <v>x</v>
      </c>
      <c r="H673" s="19" t="str">
        <f>IFERROR(__xludf.DUMMYFUNCTION("""COMPUTED_VALUE"""),"x")</f>
        <v>x</v>
      </c>
      <c r="I673" s="19" t="str">
        <f>IFERROR(__xludf.DUMMYFUNCTION("""COMPUTED_VALUE"""),"x")</f>
        <v>x</v>
      </c>
      <c r="J673" s="20" t="str">
        <f>IFERROR(__xludf.DUMMYFUNCTION("""COMPUTED_VALUE"""),"x")</f>
        <v>x</v>
      </c>
      <c r="K673" s="19" t="str">
        <f>IFERROR(__xludf.DUMMYFUNCTION("""COMPUTED_VALUE"""),"x")</f>
        <v>x</v>
      </c>
      <c r="L673" s="20" t="str">
        <f>IFERROR(__xludf.DUMMYFUNCTION("""COMPUTED_VALUE"""),"x")</f>
        <v>x</v>
      </c>
      <c r="M673" s="19" t="str">
        <f>IFERROR(__xludf.DUMMYFUNCTION("""COMPUTED_VALUE"""),"PP")</f>
        <v>PP</v>
      </c>
      <c r="N673" s="19" t="str">
        <f>IFERROR(__xludf.DUMMYFUNCTION("""COMPUTED_VALUE"""),"PRIORIDAD 3 Q1 2024 MARZO")</f>
        <v>PRIORIDAD 3 Q1 2024 MARZO</v>
      </c>
    </row>
    <row r="674" ht="15.75" customHeight="1">
      <c r="A674" s="19" t="str">
        <f>IFERROR(__xludf.DUMMYFUNCTION("""COMPUTED_VALUE"""),"AB_9946")</f>
        <v>AB_9946</v>
      </c>
      <c r="B674" s="19" t="str">
        <f>IFERROR(__xludf.DUMMYFUNCTION("""COMPUTED_VALUE"""),"AB_9946_A")</f>
        <v>AB_9946_A</v>
      </c>
      <c r="C674" s="19" t="str">
        <f>IFERROR(__xludf.DUMMYFUNCTION("""COMPUTED_VALUE"""),"MG9946")</f>
        <v>MG9946</v>
      </c>
      <c r="D674" s="19" t="str">
        <f>IFERROR(__xludf.DUMMYFUNCTION("""COMPUTED_VALUE"""),"Lago Cabeza de Mar")</f>
        <v>Lago Cabeza de Mar</v>
      </c>
      <c r="E674" s="19" t="str">
        <f>IFERROR(__xludf.DUMMYFUNCTION("""COMPUTED_VALUE"""),"SITIO ASIGNADO")</f>
        <v>SITIO ASIGNADO</v>
      </c>
      <c r="F674" s="19"/>
      <c r="G674" s="19" t="str">
        <f>IFERROR(__xludf.DUMMYFUNCTION("""COMPUTED_VALUE"""),"AS72 (H)")</f>
        <v>AS72 (H)</v>
      </c>
      <c r="H674" s="19" t="str">
        <f>IFERROR(__xludf.DUMMYFUNCTION("""COMPUTED_VALUE"""),"INGENIUS")</f>
        <v>INGENIUS</v>
      </c>
      <c r="I674" s="19" t="str">
        <f>IFERROR(__xludf.DUMMYFUNCTION("""COMPUTED_VALUE"""),"En fabricacion")</f>
        <v>En fabricacion</v>
      </c>
      <c r="J674" s="20">
        <f>IFERROR(__xludf.DUMMYFUNCTION("""COMPUTED_VALUE"""),45128.0)</f>
        <v>45128</v>
      </c>
      <c r="K674" s="19" t="str">
        <f>IFERROR(__xludf.DUMMYFUNCTION("""COMPUTED_VALUE"""),"En fabricacion")</f>
        <v>En fabricacion</v>
      </c>
      <c r="L674" s="20">
        <f>IFERROR(__xludf.DUMMYFUNCTION("""COMPUTED_VALUE"""),45163.0)</f>
        <v>45163</v>
      </c>
      <c r="M674" s="19" t="str">
        <f>IFERROR(__xludf.DUMMYFUNCTION("""COMPUTED_VALUE"""),"PP")</f>
        <v>PP</v>
      </c>
      <c r="N674" s="19" t="str">
        <f>IFERROR(__xludf.DUMMYFUNCTION("""COMPUTED_VALUE"""),"PRIORIDAD 1 Q3 2023 OCTUBRE")</f>
        <v>PRIORIDAD 1 Q3 2023 OCTUBRE</v>
      </c>
    </row>
    <row r="675" ht="15.75" customHeight="1">
      <c r="A675" s="19" t="str">
        <f>IFERROR(__xludf.DUMMYFUNCTION("""COMPUTED_VALUE"""),"AB_9882")</f>
        <v>AB_9882</v>
      </c>
      <c r="B675" s="19" t="str">
        <f>IFERROR(__xludf.DUMMYFUNCTION("""COMPUTED_VALUE"""),"AB_9882_E")</f>
        <v>AB_9882_E</v>
      </c>
      <c r="C675" s="19" t="str">
        <f>IFERROR(__xludf.DUMMYFUNCTION("""COMPUTED_VALUE"""),"MG9882")</f>
        <v>MG9882</v>
      </c>
      <c r="D675" s="19" t="str">
        <f>IFERROR(__xludf.DUMMYFUNCTION("""COMPUTED_VALUE"""),"LLOO Agua Fresca")</f>
        <v>LLOO Agua Fresca</v>
      </c>
      <c r="E675" s="19" t="str">
        <f>IFERROR(__xludf.DUMMYFUNCTION("""COMPUTED_VALUE"""),"SITIO CONSTRUIDO")</f>
        <v>SITIO CONSTRUIDO</v>
      </c>
      <c r="F675" s="19" t="str">
        <f>IFERROR(__xludf.DUMMYFUNCTION("""COMPUTED_VALUE"""),"ENFIERRADURA")</f>
        <v>ENFIERRADURA</v>
      </c>
      <c r="G675" s="19" t="str">
        <f>IFERROR(__xludf.DUMMYFUNCTION("""COMPUTED_VALUE"""),"CV42 (H)")</f>
        <v>CV42 (H)</v>
      </c>
      <c r="H675" s="19" t="str">
        <f>IFERROR(__xludf.DUMMYFUNCTION("""COMPUTED_VALUE"""),"SYC")</f>
        <v>SYC</v>
      </c>
      <c r="I675" s="19" t="str">
        <f>IFERROR(__xludf.DUMMYFUNCTION("""COMPUTED_VALUE"""),"Entregada")</f>
        <v>Entregada</v>
      </c>
      <c r="J675" s="20">
        <f>IFERROR(__xludf.DUMMYFUNCTION("""COMPUTED_VALUE"""),44890.0)</f>
        <v>44890</v>
      </c>
      <c r="K675" s="19" t="str">
        <f>IFERROR(__xludf.DUMMYFUNCTION("""COMPUTED_VALUE"""),"Entregada")</f>
        <v>Entregada</v>
      </c>
      <c r="L675" s="20">
        <f>IFERROR(__xludf.DUMMYFUNCTION("""COMPUTED_VALUE"""),44897.0)</f>
        <v>44897</v>
      </c>
      <c r="M675" s="19" t="str">
        <f>IFERROR(__xludf.DUMMYFUNCTION("""COMPUTED_VALUE"""),"LLOO")</f>
        <v>LLOO</v>
      </c>
      <c r="N675" s="19" t="str">
        <f>IFERROR(__xludf.DUMMYFUNCTION("""COMPUTED_VALUE"""),"PRIORIDAD 1 Q3 2023 OCTUBRE")</f>
        <v>PRIORIDAD 1 Q3 2023 OCTUBRE</v>
      </c>
    </row>
    <row r="676" ht="15.75" customHeight="1">
      <c r="A676" s="19" t="str">
        <f>IFERROR(__xludf.DUMMYFUNCTION("""COMPUTED_VALUE"""),"AB_10196")</f>
        <v>AB_10196</v>
      </c>
      <c r="B676" s="19" t="str">
        <f>IFERROR(__xludf.DUMMYFUNCTION("""COMPUTED_VALUE"""),"AB_10196_B")</f>
        <v>AB_10196_B</v>
      </c>
      <c r="C676" s="19" t="str">
        <f>IFERROR(__xludf.DUMMYFUNCTION("""COMPUTED_VALUE"""),"NU10196")</f>
        <v>NU10196</v>
      </c>
      <c r="D676" s="19" t="str">
        <f>IFERROR(__xludf.DUMMYFUNCTION("""COMPUTED_VALUE"""),"Los Bosques Cobquecura")</f>
        <v>Los Bosques Cobquecura</v>
      </c>
      <c r="E676" s="19" t="str">
        <f>IFERROR(__xludf.DUMMYFUNCTION("""COMPUTED_VALUE"""),"SITIO RFI")</f>
        <v>SITIO RFI</v>
      </c>
      <c r="F676" s="19" t="str">
        <f>IFERROR(__xludf.DUMMYFUNCTION("""COMPUTED_VALUE"""),"RFI")</f>
        <v>RFI</v>
      </c>
      <c r="G676" s="19" t="str">
        <f>IFERROR(__xludf.DUMMYFUNCTION("""COMPUTED_VALUE"""),"MP R40")</f>
        <v>MP R40</v>
      </c>
      <c r="H676" s="19" t="str">
        <f>IFERROR(__xludf.DUMMYFUNCTION("""COMPUTED_VALUE"""),"DEITEL")</f>
        <v>DEITEL</v>
      </c>
      <c r="I676" s="19" t="str">
        <f>IFERROR(__xludf.DUMMYFUNCTION("""COMPUTED_VALUE"""),"Entregada")</f>
        <v>Entregada</v>
      </c>
      <c r="J676" s="20">
        <f>IFERROR(__xludf.DUMMYFUNCTION("""COMPUTED_VALUE"""),44911.0)</f>
        <v>44911</v>
      </c>
      <c r="K676" s="19" t="str">
        <f>IFERROR(__xludf.DUMMYFUNCTION("""COMPUTED_VALUE"""),"Entregada")</f>
        <v>Entregada</v>
      </c>
      <c r="L676" s="20">
        <f>IFERROR(__xludf.DUMMYFUNCTION("""COMPUTED_VALUE"""),44581.0)</f>
        <v>44581</v>
      </c>
      <c r="M676" s="19" t="str">
        <f>IFERROR(__xludf.DUMMYFUNCTION("""COMPUTED_VALUE"""),"PCM")</f>
        <v>PCM</v>
      </c>
      <c r="N676" s="19" t="str">
        <f>IFERROR(__xludf.DUMMYFUNCTION("""COMPUTED_VALUE"""),"PRIORIDAD 1 Q3 2023 OCTUBRE")</f>
        <v>PRIORIDAD 1 Q3 2023 OCTUBRE</v>
      </c>
    </row>
    <row r="677" ht="15.75" customHeight="1">
      <c r="A677" s="19" t="str">
        <f>IFERROR(__xludf.DUMMYFUNCTION("""COMPUTED_VALUE"""),"AB_10228")</f>
        <v>AB_10228</v>
      </c>
      <c r="B677" s="19" t="str">
        <f>IFERROR(__xludf.DUMMYFUNCTION("""COMPUTED_VALUE"""),"AB_10228_C")</f>
        <v>AB_10228_C</v>
      </c>
      <c r="C677" s="19" t="str">
        <f>IFERROR(__xludf.DUMMYFUNCTION("""COMPUTED_VALUE"""),"NU10228")</f>
        <v>NU10228</v>
      </c>
      <c r="D677" s="19" t="str">
        <f>IFERROR(__xludf.DUMMYFUNCTION("""COMPUTED_VALUE"""),"Buchupureo")</f>
        <v>Buchupureo</v>
      </c>
      <c r="E677" s="19" t="str">
        <f>IFERROR(__xludf.DUMMYFUNCTION("""COMPUTED_VALUE"""),"SITIO RFI")</f>
        <v>SITIO RFI</v>
      </c>
      <c r="F677" s="19" t="str">
        <f>IFERROR(__xludf.DUMMYFUNCTION("""COMPUTED_VALUE"""),"RFI")</f>
        <v>RFI</v>
      </c>
      <c r="G677" s="19" t="str">
        <f>IFERROR(__xludf.DUMMYFUNCTION("""COMPUTED_VALUE"""),"CV60")</f>
        <v>CV60</v>
      </c>
      <c r="H677" s="19" t="str">
        <f>IFERROR(__xludf.DUMMYFUNCTION("""COMPUTED_VALUE"""),"AJ")</f>
        <v>AJ</v>
      </c>
      <c r="I677" s="19" t="str">
        <f>IFERROR(__xludf.DUMMYFUNCTION("""COMPUTED_VALUE"""),"Entregada")</f>
        <v>Entregada</v>
      </c>
      <c r="J677" s="20">
        <f>IFERROR(__xludf.DUMMYFUNCTION("""COMPUTED_VALUE"""),44732.0)</f>
        <v>44732</v>
      </c>
      <c r="K677" s="19" t="str">
        <f>IFERROR(__xludf.DUMMYFUNCTION("""COMPUTED_VALUE"""),"Entregada")</f>
        <v>Entregada</v>
      </c>
      <c r="L677" s="20">
        <f>IFERROR(__xludf.DUMMYFUNCTION("""COMPUTED_VALUE"""),44810.0)</f>
        <v>44810</v>
      </c>
      <c r="M677" s="19" t="str">
        <f>IFERROR(__xludf.DUMMYFUNCTION("""COMPUTED_VALUE"""),"PCM")</f>
        <v>PCM</v>
      </c>
      <c r="N677" s="19" t="str">
        <f>IFERROR(__xludf.DUMMYFUNCTION("""COMPUTED_VALUE"""),"PRIORIDAD 1 Q3 2023 OCTUBRE")</f>
        <v>PRIORIDAD 1 Q3 2023 OCTUBRE</v>
      </c>
    </row>
    <row r="678" ht="15.75" customHeight="1">
      <c r="A678" s="19" t="str">
        <f>IFERROR(__xludf.DUMMYFUNCTION("""COMPUTED_VALUE"""),"AB_10301")</f>
        <v>AB_10301</v>
      </c>
      <c r="B678" s="19" t="str">
        <f>IFERROR(__xludf.DUMMYFUNCTION("""COMPUTED_VALUE"""),"AB_10301_B")</f>
        <v>AB_10301_B</v>
      </c>
      <c r="C678" s="19" t="str">
        <f>IFERROR(__xludf.DUMMYFUNCTION("""COMPUTED_VALUE"""),"NU10301")</f>
        <v>NU10301</v>
      </c>
      <c r="D678" s="19" t="str">
        <f>IFERROR(__xludf.DUMMYFUNCTION("""COMPUTED_VALUE"""),"Fundos del Carmen")</f>
        <v>Fundos del Carmen</v>
      </c>
      <c r="E678" s="19" t="str">
        <f>IFERROR(__xludf.DUMMYFUNCTION("""COMPUTED_VALUE"""),"SITIO RFI")</f>
        <v>SITIO RFI</v>
      </c>
      <c r="F678" s="19" t="str">
        <f>IFERROR(__xludf.DUMMYFUNCTION("""COMPUTED_VALUE"""),"RFI")</f>
        <v>RFI</v>
      </c>
      <c r="G678" s="19" t="str">
        <f>IFERROR(__xludf.DUMMYFUNCTION("""COMPUTED_VALUE"""),"CV42")</f>
        <v>CV42</v>
      </c>
      <c r="H678" s="19" t="str">
        <f>IFERROR(__xludf.DUMMYFUNCTION("""COMPUTED_VALUE"""),"AJ")</f>
        <v>AJ</v>
      </c>
      <c r="I678" s="19" t="str">
        <f>IFERROR(__xludf.DUMMYFUNCTION("""COMPUTED_VALUE"""),"Entregada")</f>
        <v>Entregada</v>
      </c>
      <c r="J678" s="20">
        <f>IFERROR(__xludf.DUMMYFUNCTION("""COMPUTED_VALUE"""),44729.0)</f>
        <v>44729</v>
      </c>
      <c r="K678" s="19" t="str">
        <f>IFERROR(__xludf.DUMMYFUNCTION("""COMPUTED_VALUE"""),"Entregada")</f>
        <v>Entregada</v>
      </c>
      <c r="L678" s="20">
        <f>IFERROR(__xludf.DUMMYFUNCTION("""COMPUTED_VALUE"""),44818.0)</f>
        <v>44818</v>
      </c>
      <c r="M678" s="19" t="str">
        <f>IFERROR(__xludf.DUMMYFUNCTION("""COMPUTED_VALUE"""),"PCM")</f>
        <v>PCM</v>
      </c>
      <c r="N678" s="19" t="str">
        <f>IFERROR(__xludf.DUMMYFUNCTION("""COMPUTED_VALUE"""),"PRIORIDAD 1 Q3 2023 OCTUBRE")</f>
        <v>PRIORIDAD 1 Q3 2023 OCTUBRE</v>
      </c>
    </row>
    <row r="679" ht="15.75" customHeight="1">
      <c r="A679" s="19" t="str">
        <f>IFERROR(__xludf.DUMMYFUNCTION("""COMPUTED_VALUE"""),"AB_10302")</f>
        <v>AB_10302</v>
      </c>
      <c r="B679" s="19" t="str">
        <f>IFERROR(__xludf.DUMMYFUNCTION("""COMPUTED_VALUE"""),"AB_10302_C")</f>
        <v>AB_10302_C</v>
      </c>
      <c r="C679" s="19" t="str">
        <f>IFERROR(__xludf.DUMMYFUNCTION("""COMPUTED_VALUE"""),"NU10302")</f>
        <v>NU10302</v>
      </c>
      <c r="D679" s="19" t="str">
        <f>IFERROR(__xludf.DUMMYFUNCTION("""COMPUTED_VALUE"""),"Toropaire Quillon")</f>
        <v>Toropaire Quillon</v>
      </c>
      <c r="E679" s="19" t="str">
        <f>IFERROR(__xludf.DUMMYFUNCTION("""COMPUTED_VALUE"""),"SITIO RFI")</f>
        <v>SITIO RFI</v>
      </c>
      <c r="F679" s="19" t="str">
        <f>IFERROR(__xludf.DUMMYFUNCTION("""COMPUTED_VALUE"""),"RFI")</f>
        <v>RFI</v>
      </c>
      <c r="G679" s="19" t="str">
        <f>IFERROR(__xludf.DUMMYFUNCTION("""COMPUTED_VALUE"""),"CV48")</f>
        <v>CV48</v>
      </c>
      <c r="H679" s="19" t="str">
        <f>IFERROR(__xludf.DUMMYFUNCTION("""COMPUTED_VALUE"""),"ADM")</f>
        <v>ADM</v>
      </c>
      <c r="I679" s="19" t="str">
        <f>IFERROR(__xludf.DUMMYFUNCTION("""COMPUTED_VALUE"""),"Entregada")</f>
        <v>Entregada</v>
      </c>
      <c r="J679" s="20">
        <f>IFERROR(__xludf.DUMMYFUNCTION("""COMPUTED_VALUE"""),44736.0)</f>
        <v>44736</v>
      </c>
      <c r="K679" s="19" t="str">
        <f>IFERROR(__xludf.DUMMYFUNCTION("""COMPUTED_VALUE"""),"Entregada")</f>
        <v>Entregada</v>
      </c>
      <c r="L679" s="20">
        <f>IFERROR(__xludf.DUMMYFUNCTION("""COMPUTED_VALUE"""),44837.0)</f>
        <v>44837</v>
      </c>
      <c r="M679" s="19" t="str">
        <f>IFERROR(__xludf.DUMMYFUNCTION("""COMPUTED_VALUE"""),"PCM")</f>
        <v>PCM</v>
      </c>
      <c r="N679" s="19" t="str">
        <f>IFERROR(__xludf.DUMMYFUNCTION("""COMPUTED_VALUE"""),"PRIORIDAD 1 Q3 2023 OCTUBRE")</f>
        <v>PRIORIDAD 1 Q3 2023 OCTUBRE</v>
      </c>
    </row>
    <row r="680" ht="15.75" customHeight="1">
      <c r="A680" s="19" t="str">
        <f>IFERROR(__xludf.DUMMYFUNCTION("""COMPUTED_VALUE"""),"AB_10304")</f>
        <v>AB_10304</v>
      </c>
      <c r="B680" s="19" t="str">
        <f>IFERROR(__xludf.DUMMYFUNCTION("""COMPUTED_VALUE"""),"AB_10304_B")</f>
        <v>AB_10304_B</v>
      </c>
      <c r="C680" s="19" t="str">
        <f>IFERROR(__xludf.DUMMYFUNCTION("""COMPUTED_VALUE"""),"NU10304")</f>
        <v>NU10304</v>
      </c>
      <c r="D680" s="19" t="str">
        <f>IFERROR(__xludf.DUMMYFUNCTION("""COMPUTED_VALUE"""),"Loma Quillon Sur")</f>
        <v>Loma Quillon Sur</v>
      </c>
      <c r="E680" s="19" t="str">
        <f>IFERROR(__xludf.DUMMYFUNCTION("""COMPUTED_VALUE"""),"SITIO RFI")</f>
        <v>SITIO RFI</v>
      </c>
      <c r="F680" s="19" t="str">
        <f>IFERROR(__xludf.DUMMYFUNCTION("""COMPUTED_VALUE"""),"RFI")</f>
        <v>RFI</v>
      </c>
      <c r="G680" s="19" t="str">
        <f>IFERROR(__xludf.DUMMYFUNCTION("""COMPUTED_VALUE"""),"CV42")</f>
        <v>CV42</v>
      </c>
      <c r="H680" s="19" t="str">
        <f>IFERROR(__xludf.DUMMYFUNCTION("""COMPUTED_VALUE"""),"SyC")</f>
        <v>SyC</v>
      </c>
      <c r="I680" s="19" t="str">
        <f>IFERROR(__xludf.DUMMYFUNCTION("""COMPUTED_VALUE"""),"Entregada")</f>
        <v>Entregada</v>
      </c>
      <c r="J680" s="20">
        <f>IFERROR(__xludf.DUMMYFUNCTION("""COMPUTED_VALUE"""),44769.0)</f>
        <v>44769</v>
      </c>
      <c r="K680" s="19" t="str">
        <f>IFERROR(__xludf.DUMMYFUNCTION("""COMPUTED_VALUE"""),"Entregada")</f>
        <v>Entregada</v>
      </c>
      <c r="L680" s="20">
        <f>IFERROR(__xludf.DUMMYFUNCTION("""COMPUTED_VALUE"""),44784.0)</f>
        <v>44784</v>
      </c>
      <c r="M680" s="19" t="str">
        <f>IFERROR(__xludf.DUMMYFUNCTION("""COMPUTED_VALUE"""),"PCM")</f>
        <v>PCM</v>
      </c>
      <c r="N680" s="19" t="str">
        <f>IFERROR(__xludf.DUMMYFUNCTION("""COMPUTED_VALUE"""),"PRIORIDAD 1 Q3 2023 OCTUBRE")</f>
        <v>PRIORIDAD 1 Q3 2023 OCTUBRE</v>
      </c>
    </row>
    <row r="681" ht="15.75" customHeight="1">
      <c r="A681" s="19" t="str">
        <f>IFERROR(__xludf.DUMMYFUNCTION("""COMPUTED_VALUE"""),"AB_10307")</f>
        <v>AB_10307</v>
      </c>
      <c r="B681" s="19" t="str">
        <f>IFERROR(__xludf.DUMMYFUNCTION("""COMPUTED_VALUE"""),"AB_10307_A")</f>
        <v>AB_10307_A</v>
      </c>
      <c r="C681" s="19" t="str">
        <f>IFERROR(__xludf.DUMMYFUNCTION("""COMPUTED_VALUE"""),"NU10307")</f>
        <v>NU10307</v>
      </c>
      <c r="D681" s="19" t="str">
        <f>IFERROR(__xludf.DUMMYFUNCTION("""COMPUTED_VALUE"""),"Pachahua Quirihue")</f>
        <v>Pachahua Quirihue</v>
      </c>
      <c r="E681" s="19" t="str">
        <f>IFERROR(__xludf.DUMMYFUNCTION("""COMPUTED_VALUE"""),"SITIO RFI")</f>
        <v>SITIO RFI</v>
      </c>
      <c r="F681" s="19" t="str">
        <f>IFERROR(__xludf.DUMMYFUNCTION("""COMPUTED_VALUE"""),"RFI")</f>
        <v>RFI</v>
      </c>
      <c r="G681" s="19" t="str">
        <f>IFERROR(__xludf.DUMMYFUNCTION("""COMPUTED_VALUE"""),"CV48")</f>
        <v>CV48</v>
      </c>
      <c r="H681" s="19" t="str">
        <f>IFERROR(__xludf.DUMMYFUNCTION("""COMPUTED_VALUE"""),"ADM")</f>
        <v>ADM</v>
      </c>
      <c r="I681" s="19" t="str">
        <f>IFERROR(__xludf.DUMMYFUNCTION("""COMPUTED_VALUE"""),"Entregada")</f>
        <v>Entregada</v>
      </c>
      <c r="J681" s="20">
        <f>IFERROR(__xludf.DUMMYFUNCTION("""COMPUTED_VALUE"""),44736.0)</f>
        <v>44736</v>
      </c>
      <c r="K681" s="19" t="str">
        <f>IFERROR(__xludf.DUMMYFUNCTION("""COMPUTED_VALUE"""),"Entregada")</f>
        <v>Entregada</v>
      </c>
      <c r="L681" s="20">
        <f>IFERROR(__xludf.DUMMYFUNCTION("""COMPUTED_VALUE"""),44771.0)</f>
        <v>44771</v>
      </c>
      <c r="M681" s="19" t="str">
        <f>IFERROR(__xludf.DUMMYFUNCTION("""COMPUTED_VALUE"""),"PCM")</f>
        <v>PCM</v>
      </c>
      <c r="N681" s="19" t="str">
        <f>IFERROR(__xludf.DUMMYFUNCTION("""COMPUTED_VALUE"""),"PRIORIDAD 1 Q3 2023 OCTUBRE")</f>
        <v>PRIORIDAD 1 Q3 2023 OCTUBRE</v>
      </c>
    </row>
    <row r="682" ht="15.75" customHeight="1">
      <c r="A682" s="19" t="str">
        <f>IFERROR(__xludf.DUMMYFUNCTION("""COMPUTED_VALUE"""),"AB_10308")</f>
        <v>AB_10308</v>
      </c>
      <c r="B682" s="19" t="str">
        <f>IFERROR(__xludf.DUMMYFUNCTION("""COMPUTED_VALUE"""),"AB_10308_A")</f>
        <v>AB_10308_A</v>
      </c>
      <c r="C682" s="19" t="str">
        <f>IFERROR(__xludf.DUMMYFUNCTION("""COMPUTED_VALUE"""),"NU10308")</f>
        <v>NU10308</v>
      </c>
      <c r="D682" s="19" t="str">
        <f>IFERROR(__xludf.DUMMYFUNCTION("""COMPUTED_VALUE"""),"Quirihue Sur")</f>
        <v>Quirihue Sur</v>
      </c>
      <c r="E682" s="19" t="str">
        <f>IFERROR(__xludf.DUMMYFUNCTION("""COMPUTED_VALUE"""),"SITIO RFI")</f>
        <v>SITIO RFI</v>
      </c>
      <c r="F682" s="19" t="str">
        <f>IFERROR(__xludf.DUMMYFUNCTION("""COMPUTED_VALUE"""),"RFI")</f>
        <v>RFI</v>
      </c>
      <c r="G682" s="19" t="str">
        <f>IFERROR(__xludf.DUMMYFUNCTION("""COMPUTED_VALUE"""),"MP36")</f>
        <v>MP36</v>
      </c>
      <c r="H682" s="19" t="str">
        <f>IFERROR(__xludf.DUMMYFUNCTION("""COMPUTED_VALUE"""),"MER")</f>
        <v>MER</v>
      </c>
      <c r="I682" s="19" t="str">
        <f>IFERROR(__xludf.DUMMYFUNCTION("""COMPUTED_VALUE"""),"Entregada")</f>
        <v>Entregada</v>
      </c>
      <c r="J682" s="20">
        <f>IFERROR(__xludf.DUMMYFUNCTION("""COMPUTED_VALUE"""),44697.0)</f>
        <v>44697</v>
      </c>
      <c r="K682" s="19" t="str">
        <f>IFERROR(__xludf.DUMMYFUNCTION("""COMPUTED_VALUE"""),"Entregada")</f>
        <v>Entregada</v>
      </c>
      <c r="L682" s="20">
        <f>IFERROR(__xludf.DUMMYFUNCTION("""COMPUTED_VALUE"""),44694.0)</f>
        <v>44694</v>
      </c>
      <c r="M682" s="19" t="str">
        <f>IFERROR(__xludf.DUMMYFUNCTION("""COMPUTED_VALUE"""),"PCM")</f>
        <v>PCM</v>
      </c>
      <c r="N682" s="19" t="str">
        <f>IFERROR(__xludf.DUMMYFUNCTION("""COMPUTED_VALUE"""),"PRIORIDAD 1 Q3 2023 OCTUBRE")</f>
        <v>PRIORIDAD 1 Q3 2023 OCTUBRE</v>
      </c>
    </row>
    <row r="683" ht="15.75" customHeight="1">
      <c r="A683" s="19" t="str">
        <f>IFERROR(__xludf.DUMMYFUNCTION("""COMPUTED_VALUE"""),"AB_10309")</f>
        <v>AB_10309</v>
      </c>
      <c r="B683" s="19" t="str">
        <f>IFERROR(__xludf.DUMMYFUNCTION("""COMPUTED_VALUE"""),"AB_10309_C")</f>
        <v>AB_10309_C</v>
      </c>
      <c r="C683" s="19" t="str">
        <f>IFERROR(__xludf.DUMMYFUNCTION("""COMPUTED_VALUE"""),"NU10309")</f>
        <v>NU10309</v>
      </c>
      <c r="D683" s="19" t="str">
        <f>IFERROR(__xludf.DUMMYFUNCTION("""COMPUTED_VALUE"""),"Entre Rutas Quirihue")</f>
        <v>Entre Rutas Quirihue</v>
      </c>
      <c r="E683" s="19" t="str">
        <f>IFERROR(__xludf.DUMMYFUNCTION("""COMPUTED_VALUE"""),"SITIO RFI")</f>
        <v>SITIO RFI</v>
      </c>
      <c r="F683" s="19" t="str">
        <f>IFERROR(__xludf.DUMMYFUNCTION("""COMPUTED_VALUE"""),"RFI")</f>
        <v>RFI</v>
      </c>
      <c r="G683" s="19" t="str">
        <f>IFERROR(__xludf.DUMMYFUNCTION("""COMPUTED_VALUE"""),"CV48")</f>
        <v>CV48</v>
      </c>
      <c r="H683" s="19" t="str">
        <f>IFERROR(__xludf.DUMMYFUNCTION("""COMPUTED_VALUE"""),"ADM")</f>
        <v>ADM</v>
      </c>
      <c r="I683" s="19" t="str">
        <f>IFERROR(__xludf.DUMMYFUNCTION("""COMPUTED_VALUE"""),"Entregada")</f>
        <v>Entregada</v>
      </c>
      <c r="J683" s="20">
        <f>IFERROR(__xludf.DUMMYFUNCTION("""COMPUTED_VALUE"""),44736.0)</f>
        <v>44736</v>
      </c>
      <c r="K683" s="19" t="str">
        <f>IFERROR(__xludf.DUMMYFUNCTION("""COMPUTED_VALUE"""),"Entregada")</f>
        <v>Entregada</v>
      </c>
      <c r="L683" s="20">
        <f>IFERROR(__xludf.DUMMYFUNCTION("""COMPUTED_VALUE"""),44862.0)</f>
        <v>44862</v>
      </c>
      <c r="M683" s="19" t="str">
        <f>IFERROR(__xludf.DUMMYFUNCTION("""COMPUTED_VALUE"""),"PCM")</f>
        <v>PCM</v>
      </c>
      <c r="N683" s="19" t="str">
        <f>IFERROR(__xludf.DUMMYFUNCTION("""COMPUTED_VALUE"""),"PRIORIDAD 1 Q3 2023 OCTUBRE")</f>
        <v>PRIORIDAD 1 Q3 2023 OCTUBRE</v>
      </c>
    </row>
    <row r="684" ht="15.75" customHeight="1">
      <c r="A684" s="19" t="str">
        <f>IFERROR(__xludf.DUMMYFUNCTION("""COMPUTED_VALUE"""),"AB_10311")</f>
        <v>AB_10311</v>
      </c>
      <c r="B684" s="19" t="str">
        <f>IFERROR(__xludf.DUMMYFUNCTION("""COMPUTED_VALUE"""),"AB_10311_D")</f>
        <v>AB_10311_D</v>
      </c>
      <c r="C684" s="19" t="str">
        <f>IFERROR(__xludf.DUMMYFUNCTION("""COMPUTED_VALUE"""),"NU10311")</f>
        <v>NU10311</v>
      </c>
      <c r="D684" s="19" t="str">
        <f>IFERROR(__xludf.DUMMYFUNCTION("""COMPUTED_VALUE"""),"Niquen")</f>
        <v>Niquen</v>
      </c>
      <c r="E684" s="19" t="str">
        <f>IFERROR(__xludf.DUMMYFUNCTION("""COMPUTED_VALUE"""),"SITIO RFI")</f>
        <v>SITIO RFI</v>
      </c>
      <c r="F684" s="19" t="str">
        <f>IFERROR(__xludf.DUMMYFUNCTION("""COMPUTED_VALUE"""),"RFI")</f>
        <v>RFI</v>
      </c>
      <c r="G684" s="19" t="str">
        <f>IFERROR(__xludf.DUMMYFUNCTION("""COMPUTED_VALUE"""),"AS60")</f>
        <v>AS60</v>
      </c>
      <c r="H684" s="19" t="str">
        <f>IFERROR(__xludf.DUMMYFUNCTION("""COMPUTED_VALUE"""),"AJ")</f>
        <v>AJ</v>
      </c>
      <c r="I684" s="19" t="str">
        <f>IFERROR(__xludf.DUMMYFUNCTION("""COMPUTED_VALUE"""),"Entregada")</f>
        <v>Entregada</v>
      </c>
      <c r="J684" s="20">
        <f>IFERROR(__xludf.DUMMYFUNCTION("""COMPUTED_VALUE"""),44643.0)</f>
        <v>44643</v>
      </c>
      <c r="K684" s="19" t="str">
        <f>IFERROR(__xludf.DUMMYFUNCTION("""COMPUTED_VALUE"""),"Entregada")</f>
        <v>Entregada</v>
      </c>
      <c r="L684" s="20">
        <f>IFERROR(__xludf.DUMMYFUNCTION("""COMPUTED_VALUE"""),44698.0)</f>
        <v>44698</v>
      </c>
      <c r="M684" s="19" t="str">
        <f>IFERROR(__xludf.DUMMYFUNCTION("""COMPUTED_VALUE"""),"PCM")</f>
        <v>PCM</v>
      </c>
      <c r="N684" s="19" t="str">
        <f>IFERROR(__xludf.DUMMYFUNCTION("""COMPUTED_VALUE"""),"PRIORIDAD 1 Q3 2023 OCTUBRE")</f>
        <v>PRIORIDAD 1 Q3 2023 OCTUBRE</v>
      </c>
    </row>
    <row r="685" ht="15.75" customHeight="1">
      <c r="A685" s="19" t="str">
        <f>IFERROR(__xludf.DUMMYFUNCTION("""COMPUTED_VALUE"""),"AB_10558")</f>
        <v>AB_10558</v>
      </c>
      <c r="B685" s="19" t="str">
        <f>IFERROR(__xludf.DUMMYFUNCTION("""COMPUTED_VALUE"""),"AB_10558_D")</f>
        <v>AB_10558_D</v>
      </c>
      <c r="C685" s="19" t="str">
        <f>IFERROR(__xludf.DUMMYFUNCTION("""COMPUTED_VALUE"""),"NU10558")</f>
        <v>NU10558</v>
      </c>
      <c r="D685" s="19" t="str">
        <f>IFERROR(__xludf.DUMMYFUNCTION("""COMPUTED_VALUE"""),"RPT San Fabian de Alico")</f>
        <v>RPT San Fabian de Alico</v>
      </c>
      <c r="E685" s="19" t="str">
        <f>IFERROR(__xludf.DUMMYFUNCTION("""COMPUTED_VALUE"""),"SITIO EN CONSTRUCCION")</f>
        <v>SITIO EN CONSTRUCCION</v>
      </c>
      <c r="F685" s="19" t="str">
        <f>IFERROR(__xludf.DUMMYFUNCTION("""COMPUTED_VALUE"""),"EXCAVACION")</f>
        <v>EXCAVACION</v>
      </c>
      <c r="G685" s="19" t="str">
        <f>IFERROR(__xludf.DUMMYFUNCTION("""COMPUTED_VALUE"""),"AS42")</f>
        <v>AS42</v>
      </c>
      <c r="H685" s="19" t="str">
        <f>IFERROR(__xludf.DUMMYFUNCTION("""COMPUTED_VALUE"""),"MER")</f>
        <v>MER</v>
      </c>
      <c r="I685" s="19" t="str">
        <f>IFERROR(__xludf.DUMMYFUNCTION("""COMPUTED_VALUE"""),"Terminada")</f>
        <v>Terminada</v>
      </c>
      <c r="J685" s="20">
        <f>IFERROR(__xludf.DUMMYFUNCTION("""COMPUTED_VALUE"""),44862.0)</f>
        <v>44862</v>
      </c>
      <c r="K685" s="19" t="str">
        <f>IFERROR(__xludf.DUMMYFUNCTION("""COMPUTED_VALUE"""),"Por pintar ")</f>
        <v>Por pintar </v>
      </c>
      <c r="L685" s="20">
        <f>IFERROR(__xludf.DUMMYFUNCTION("""COMPUTED_VALUE"""),44876.0)</f>
        <v>44876</v>
      </c>
      <c r="M685" s="19" t="str">
        <f>IFERROR(__xludf.DUMMYFUNCTION("""COMPUTED_VALUE"""),"LLOO_3")</f>
        <v>LLOO_3</v>
      </c>
      <c r="N685" s="19" t="str">
        <f>IFERROR(__xludf.DUMMYFUNCTION("""COMPUTED_VALUE"""),"PRIORIDAD 3 Q1 2024 MARZO")</f>
        <v>PRIORIDAD 3 Q1 2024 MARZO</v>
      </c>
    </row>
    <row r="686" ht="15.75" customHeight="1">
      <c r="A686" s="19" t="str">
        <f>IFERROR(__xludf.DUMMYFUNCTION("""COMPUTED_VALUE"""),"AB_10608")</f>
        <v>AB_10608</v>
      </c>
      <c r="B686" s="19" t="str">
        <f>IFERROR(__xludf.DUMMYFUNCTION("""COMPUTED_VALUE"""),"AB_10608_C")</f>
        <v>AB_10608_C</v>
      </c>
      <c r="C686" s="19" t="str">
        <f>IFERROR(__xludf.DUMMYFUNCTION("""COMPUTED_VALUE"""),"NU10608")</f>
        <v>NU10608</v>
      </c>
      <c r="D686" s="19" t="str">
        <f>IFERROR(__xludf.DUMMYFUNCTION("""COMPUTED_VALUE"""),"RPT_Copiulemu")</f>
        <v>RPT_Copiulemu</v>
      </c>
      <c r="E686" s="19" t="str">
        <f>IFERROR(__xludf.DUMMYFUNCTION("""COMPUTED_VALUE"""),"SITIO RFC")</f>
        <v>SITIO RFC</v>
      </c>
      <c r="F686" s="19"/>
      <c r="G686" s="19" t="str">
        <f>IFERROR(__xludf.DUMMYFUNCTION("""COMPUTED_VALUE"""),"CV48")</f>
        <v>CV48</v>
      </c>
      <c r="H686" s="19" t="str">
        <f>IFERROR(__xludf.DUMMYFUNCTION("""COMPUTED_VALUE"""),"MER")</f>
        <v>MER</v>
      </c>
      <c r="I686" s="19" t="str">
        <f>IFERROR(__xludf.DUMMYFUNCTION("""COMPUTED_VALUE"""),"Terminada")</f>
        <v>Terminada</v>
      </c>
      <c r="J686" s="20">
        <f>IFERROR(__xludf.DUMMYFUNCTION("""COMPUTED_VALUE"""),45051.0)</f>
        <v>45051</v>
      </c>
      <c r="K686" s="19" t="str">
        <f>IFERROR(__xludf.DUMMYFUNCTION("""COMPUTED_VALUE"""),"Por pintar ")</f>
        <v>Por pintar </v>
      </c>
      <c r="L686" s="20">
        <f>IFERROR(__xludf.DUMMYFUNCTION("""COMPUTED_VALUE"""),45054.0)</f>
        <v>45054</v>
      </c>
      <c r="M686" s="19" t="str">
        <f>IFERROR(__xludf.DUMMYFUNCTION("""COMPUTED_VALUE"""),"PCM_3")</f>
        <v>PCM_3</v>
      </c>
      <c r="N686" s="19" t="str">
        <f>IFERROR(__xludf.DUMMYFUNCTION("""COMPUTED_VALUE"""),"PRIORIDAD 3 Q1 2024 MARZO")</f>
        <v>PRIORIDAD 3 Q1 2024 MARZO</v>
      </c>
    </row>
    <row r="687" ht="15.75" customHeight="1">
      <c r="A687" s="19" t="str">
        <f>IFERROR(__xludf.DUMMYFUNCTION("""COMPUTED_VALUE"""),"AB_2531")</f>
        <v>AB_2531</v>
      </c>
      <c r="B687" s="19" t="str">
        <f>IFERROR(__xludf.DUMMYFUNCTION("""COMPUTED_VALUE"""),"AB_2531_B")</f>
        <v>AB_2531_B</v>
      </c>
      <c r="C687" s="19" t="str">
        <f>IFERROR(__xludf.DUMMYFUNCTION("""COMPUTED_VALUE"""),"NU2531")</f>
        <v>NU2531</v>
      </c>
      <c r="D687" s="19" t="str">
        <f>IFERROR(__xludf.DUMMYFUNCTION("""COMPUTED_VALUE"""),"Ranquil")</f>
        <v>Ranquil</v>
      </c>
      <c r="E687" s="19" t="str">
        <f>IFERROR(__xludf.DUMMYFUNCTION("""COMPUTED_VALUE"""),"SITIO RFI")</f>
        <v>SITIO RFI</v>
      </c>
      <c r="F687" s="19" t="str">
        <f>IFERROR(__xludf.DUMMYFUNCTION("""COMPUTED_VALUE"""),"RFI")</f>
        <v>RFI</v>
      </c>
      <c r="G687" s="19" t="str">
        <f>IFERROR(__xludf.DUMMYFUNCTION("""COMPUTED_VALUE"""),"AS60")</f>
        <v>AS60</v>
      </c>
      <c r="H687" s="19" t="str">
        <f>IFERROR(__xludf.DUMMYFUNCTION("""COMPUTED_VALUE"""),"ADM")</f>
        <v>ADM</v>
      </c>
      <c r="I687" s="19" t="str">
        <f>IFERROR(__xludf.DUMMYFUNCTION("""COMPUTED_VALUE"""),"Entregada")</f>
        <v>Entregada</v>
      </c>
      <c r="J687" s="20">
        <f>IFERROR(__xludf.DUMMYFUNCTION("""COMPUTED_VALUE"""),44750.0)</f>
        <v>44750</v>
      </c>
      <c r="K687" s="19" t="str">
        <f>IFERROR(__xludf.DUMMYFUNCTION("""COMPUTED_VALUE"""),"Entregada")</f>
        <v>Entregada</v>
      </c>
      <c r="L687" s="20">
        <f>IFERROR(__xludf.DUMMYFUNCTION("""COMPUTED_VALUE"""),44778.0)</f>
        <v>44778</v>
      </c>
      <c r="M687" s="19" t="str">
        <f>IFERROR(__xludf.DUMMYFUNCTION("""COMPUTED_VALUE"""),"PCM")</f>
        <v>PCM</v>
      </c>
      <c r="N687" s="19" t="str">
        <f>IFERROR(__xludf.DUMMYFUNCTION("""COMPUTED_VALUE"""),"PRIORIDAD 1 Q3 2023 OCTUBRE")</f>
        <v>PRIORIDAD 1 Q3 2023 OCTUBRE</v>
      </c>
    </row>
    <row r="688" ht="15.75" customHeight="1">
      <c r="A688" s="19" t="str">
        <f>IFERROR(__xludf.DUMMYFUNCTION("""COMPUTED_VALUE"""),"AB_2643")</f>
        <v>AB_2643</v>
      </c>
      <c r="B688" s="19" t="str">
        <f>IFERROR(__xludf.DUMMYFUNCTION("""COMPUTED_VALUE"""),"AB_2643_E")</f>
        <v>AB_2643_E</v>
      </c>
      <c r="C688" s="19" t="str">
        <f>IFERROR(__xludf.DUMMYFUNCTION("""COMPUTED_VALUE"""),"NU2643")</f>
        <v>NU2643</v>
      </c>
      <c r="D688" s="19" t="str">
        <f>IFERROR(__xludf.DUMMYFUNCTION("""COMPUTED_VALUE"""),"San Fabian de Alico Pueblo")</f>
        <v>San Fabian de Alico Pueblo</v>
      </c>
      <c r="E688" s="19" t="str">
        <f>IFERROR(__xludf.DUMMYFUNCTION("""COMPUTED_VALUE"""),"SITIO RFI")</f>
        <v>SITIO RFI</v>
      </c>
      <c r="F688" s="19" t="str">
        <f>IFERROR(__xludf.DUMMYFUNCTION("""COMPUTED_VALUE"""),"RFI")</f>
        <v>RFI</v>
      </c>
      <c r="G688" s="19" t="str">
        <f>IFERROR(__xludf.DUMMYFUNCTION("""COMPUTED_VALUE"""),"AS60")</f>
        <v>AS60</v>
      </c>
      <c r="H688" s="19" t="str">
        <f>IFERROR(__xludf.DUMMYFUNCTION("""COMPUTED_VALUE"""),"MT")</f>
        <v>MT</v>
      </c>
      <c r="I688" s="19" t="str">
        <f>IFERROR(__xludf.DUMMYFUNCTION("""COMPUTED_VALUE"""),"Entregada")</f>
        <v>Entregada</v>
      </c>
      <c r="J688" s="20">
        <f>IFERROR(__xludf.DUMMYFUNCTION("""COMPUTED_VALUE"""),44461.0)</f>
        <v>44461</v>
      </c>
      <c r="K688" s="19" t="str">
        <f>IFERROR(__xludf.DUMMYFUNCTION("""COMPUTED_VALUE"""),"Entregada")</f>
        <v>Entregada</v>
      </c>
      <c r="L688" s="20">
        <f>IFERROR(__xludf.DUMMYFUNCTION("""COMPUTED_VALUE"""),44461.0)</f>
        <v>44461</v>
      </c>
      <c r="M688" s="19" t="str">
        <f>IFERROR(__xludf.DUMMYFUNCTION("""COMPUTED_VALUE"""),"PCM")</f>
        <v>PCM</v>
      </c>
      <c r="N688" s="19" t="str">
        <f>IFERROR(__xludf.DUMMYFUNCTION("""COMPUTED_VALUE"""),"PRIORIDAD 1 Q3 2023 OCTUBRE")</f>
        <v>PRIORIDAD 1 Q3 2023 OCTUBRE</v>
      </c>
    </row>
    <row r="689" ht="15.75" customHeight="1">
      <c r="A689" s="19" t="str">
        <f>IFERROR(__xludf.DUMMYFUNCTION("""COMPUTED_VALUE"""),"AB_5752")</f>
        <v>AB_5752</v>
      </c>
      <c r="B689" s="19" t="str">
        <f>IFERROR(__xludf.DUMMYFUNCTION("""COMPUTED_VALUE"""),"AB_5752_E")</f>
        <v>AB_5752_E</v>
      </c>
      <c r="C689" s="19" t="str">
        <f>IFERROR(__xludf.DUMMYFUNCTION("""COMPUTED_VALUE"""),"NU5752")</f>
        <v>NU5752</v>
      </c>
      <c r="D689" s="19" t="str">
        <f>IFERROR(__xludf.DUMMYFUNCTION("""COMPUTED_VALUE"""),"Ninquihue")</f>
        <v>Ninquihue</v>
      </c>
      <c r="E689" s="19" t="str">
        <f>IFERROR(__xludf.DUMMYFUNCTION("""COMPUTED_VALUE"""),"SITIO RFI")</f>
        <v>SITIO RFI</v>
      </c>
      <c r="F689" s="19" t="str">
        <f>IFERROR(__xludf.DUMMYFUNCTION("""COMPUTED_VALUE"""),"RFI")</f>
        <v>RFI</v>
      </c>
      <c r="G689" s="19" t="str">
        <f>IFERROR(__xludf.DUMMYFUNCTION("""COMPUTED_VALUE"""),"CV48")</f>
        <v>CV48</v>
      </c>
      <c r="H689" s="19" t="str">
        <f>IFERROR(__xludf.DUMMYFUNCTION("""COMPUTED_VALUE"""),"JTI")</f>
        <v>JTI</v>
      </c>
      <c r="I689" s="19" t="str">
        <f>IFERROR(__xludf.DUMMYFUNCTION("""COMPUTED_VALUE"""),"Entregada")</f>
        <v>Entregada</v>
      </c>
      <c r="J689" s="20">
        <f>IFERROR(__xludf.DUMMYFUNCTION("""COMPUTED_VALUE"""),44876.0)</f>
        <v>44876</v>
      </c>
      <c r="K689" s="19" t="str">
        <f>IFERROR(__xludf.DUMMYFUNCTION("""COMPUTED_VALUE"""),"Entregada")</f>
        <v>Entregada</v>
      </c>
      <c r="L689" s="20">
        <f>IFERROR(__xludf.DUMMYFUNCTION("""COMPUTED_VALUE"""),44902.0)</f>
        <v>44902</v>
      </c>
      <c r="M689" s="19" t="str">
        <f>IFERROR(__xludf.DUMMYFUNCTION("""COMPUTED_VALUE"""),"PP")</f>
        <v>PP</v>
      </c>
      <c r="N689" s="19" t="str">
        <f>IFERROR(__xludf.DUMMYFUNCTION("""COMPUTED_VALUE"""),"PRIORIDAD 1 Q3 2023 OCTUBRE")</f>
        <v>PRIORIDAD 1 Q3 2023 OCTUBRE</v>
      </c>
    </row>
    <row r="690" ht="15.75" customHeight="1">
      <c r="A690" s="19" t="str">
        <f>IFERROR(__xludf.DUMMYFUNCTION("""COMPUTED_VALUE"""),"AB_6650")</f>
        <v>AB_6650</v>
      </c>
      <c r="B690" s="19" t="str">
        <f>IFERROR(__xludf.DUMMYFUNCTION("""COMPUTED_VALUE"""),"AB_6650_C")</f>
        <v>AB_6650_C</v>
      </c>
      <c r="C690" s="19" t="str">
        <f>IFERROR(__xludf.DUMMYFUNCTION("""COMPUTED_VALUE"""),"NU6650")</f>
        <v>NU6650</v>
      </c>
      <c r="D690" s="19" t="str">
        <f>IFERROR(__xludf.DUMMYFUNCTION("""COMPUTED_VALUE"""),"Cayanco Quillon")</f>
        <v>Cayanco Quillon</v>
      </c>
      <c r="E690" s="19" t="str">
        <f>IFERROR(__xludf.DUMMYFUNCTION("""COMPUTED_VALUE"""),"SITIO RFI")</f>
        <v>SITIO RFI</v>
      </c>
      <c r="F690" s="19" t="str">
        <f>IFERROR(__xludf.DUMMYFUNCTION("""COMPUTED_VALUE"""),"RFI")</f>
        <v>RFI</v>
      </c>
      <c r="G690" s="19" t="str">
        <f>IFERROR(__xludf.DUMMYFUNCTION("""COMPUTED_VALUE"""),"CV42")</f>
        <v>CV42</v>
      </c>
      <c r="H690" s="19" t="str">
        <f>IFERROR(__xludf.DUMMYFUNCTION("""COMPUTED_VALUE"""),"AJ")</f>
        <v>AJ</v>
      </c>
      <c r="I690" s="19" t="str">
        <f>IFERROR(__xludf.DUMMYFUNCTION("""COMPUTED_VALUE"""),"Entregada")</f>
        <v>Entregada</v>
      </c>
      <c r="J690" s="20">
        <f>IFERROR(__xludf.DUMMYFUNCTION("""COMPUTED_VALUE"""),44819.0)</f>
        <v>44819</v>
      </c>
      <c r="K690" s="19" t="str">
        <f>IFERROR(__xludf.DUMMYFUNCTION("""COMPUTED_VALUE"""),"Entregada")</f>
        <v>Entregada</v>
      </c>
      <c r="L690" s="20">
        <f>IFERROR(__xludf.DUMMYFUNCTION("""COMPUTED_VALUE"""),44861.0)</f>
        <v>44861</v>
      </c>
      <c r="M690" s="19" t="str">
        <f>IFERROR(__xludf.DUMMYFUNCTION("""COMPUTED_VALUE"""),"PCM")</f>
        <v>PCM</v>
      </c>
      <c r="N690" s="19" t="str">
        <f>IFERROR(__xludf.DUMMYFUNCTION("""COMPUTED_VALUE"""),"PRIORIDAD 1 Q3 2023 OCTUBRE")</f>
        <v>PRIORIDAD 1 Q3 2023 OCTUBRE</v>
      </c>
    </row>
    <row r="691" ht="15.75" customHeight="1">
      <c r="A691" s="19" t="str">
        <f>IFERROR(__xludf.DUMMYFUNCTION("""COMPUTED_VALUE"""),"AB_8192")</f>
        <v>AB_8192</v>
      </c>
      <c r="B691" s="19" t="str">
        <f>IFERROR(__xludf.DUMMYFUNCTION("""COMPUTED_VALUE"""),"AB_8192_A")</f>
        <v>AB_8192_A</v>
      </c>
      <c r="C691" s="19" t="str">
        <f>IFERROR(__xludf.DUMMYFUNCTION("""COMPUTED_VALUE"""),"NU8192")</f>
        <v>NU8192</v>
      </c>
      <c r="D691" s="19" t="str">
        <f>IFERROR(__xludf.DUMMYFUNCTION("""COMPUTED_VALUE"""),"Las Quilas Cobquecura")</f>
        <v>Las Quilas Cobquecura</v>
      </c>
      <c r="E691" s="19" t="str">
        <f>IFERROR(__xludf.DUMMYFUNCTION("""COMPUTED_VALUE"""),"SITIO RFI")</f>
        <v>SITIO RFI</v>
      </c>
      <c r="F691" s="19" t="str">
        <f>IFERROR(__xludf.DUMMYFUNCTION("""COMPUTED_VALUE"""),"RFI")</f>
        <v>RFI</v>
      </c>
      <c r="G691" s="19" t="str">
        <f>IFERROR(__xludf.DUMMYFUNCTION("""COMPUTED_VALUE"""),"CV60")</f>
        <v>CV60</v>
      </c>
      <c r="H691" s="19" t="str">
        <f>IFERROR(__xludf.DUMMYFUNCTION("""COMPUTED_VALUE"""),"DEITEL")</f>
        <v>DEITEL</v>
      </c>
      <c r="I691" s="19" t="str">
        <f>IFERROR(__xludf.DUMMYFUNCTION("""COMPUTED_VALUE"""),"Entregada")</f>
        <v>Entregada</v>
      </c>
      <c r="J691" s="20">
        <f>IFERROR(__xludf.DUMMYFUNCTION("""COMPUTED_VALUE"""),44746.0)</f>
        <v>44746</v>
      </c>
      <c r="K691" s="19" t="str">
        <f>IFERROR(__xludf.DUMMYFUNCTION("""COMPUTED_VALUE"""),"Entregada")</f>
        <v>Entregada</v>
      </c>
      <c r="L691" s="20">
        <f>IFERROR(__xludf.DUMMYFUNCTION("""COMPUTED_VALUE"""),44782.0)</f>
        <v>44782</v>
      </c>
      <c r="M691" s="19" t="str">
        <f>IFERROR(__xludf.DUMMYFUNCTION("""COMPUTED_VALUE"""),"PCM")</f>
        <v>PCM</v>
      </c>
      <c r="N691" s="19" t="str">
        <f>IFERROR(__xludf.DUMMYFUNCTION("""COMPUTED_VALUE"""),"PRIORIDAD 1 Q3 2023 OCTUBRE")</f>
        <v>PRIORIDAD 1 Q3 2023 OCTUBRE</v>
      </c>
    </row>
    <row r="692" ht="15.75" customHeight="1">
      <c r="A692" s="19" t="str">
        <f>IFERROR(__xludf.DUMMYFUNCTION("""COMPUTED_VALUE"""),"AB_8194")</f>
        <v>AB_8194</v>
      </c>
      <c r="B692" s="19" t="str">
        <f>IFERROR(__xludf.DUMMYFUNCTION("""COMPUTED_VALUE"""),"AB_8194_A")</f>
        <v>AB_8194_A</v>
      </c>
      <c r="C692" s="19" t="str">
        <f>IFERROR(__xludf.DUMMYFUNCTION("""COMPUTED_VALUE"""),"NU8194")</f>
        <v>NU8194</v>
      </c>
      <c r="D692" s="19" t="str">
        <f>IFERROR(__xludf.DUMMYFUNCTION("""COMPUTED_VALUE"""),"La Palma Coelemu")</f>
        <v>La Palma Coelemu</v>
      </c>
      <c r="E692" s="19" t="str">
        <f>IFERROR(__xludf.DUMMYFUNCTION("""COMPUTED_VALUE"""),"SITIO RFI")</f>
        <v>SITIO RFI</v>
      </c>
      <c r="F692" s="19" t="str">
        <f>IFERROR(__xludf.DUMMYFUNCTION("""COMPUTED_VALUE"""),"RFI")</f>
        <v>RFI</v>
      </c>
      <c r="G692" s="19" t="str">
        <f>IFERROR(__xludf.DUMMYFUNCTION("""COMPUTED_VALUE"""),"CV60")</f>
        <v>CV60</v>
      </c>
      <c r="H692" s="19" t="str">
        <f>IFERROR(__xludf.DUMMYFUNCTION("""COMPUTED_VALUE"""),"DEPROMET")</f>
        <v>DEPROMET</v>
      </c>
      <c r="I692" s="19" t="str">
        <f>IFERROR(__xludf.DUMMYFUNCTION("""COMPUTED_VALUE"""),"Entregada")</f>
        <v>Entregada</v>
      </c>
      <c r="J692" s="20">
        <f>IFERROR(__xludf.DUMMYFUNCTION("""COMPUTED_VALUE"""),44708.0)</f>
        <v>44708</v>
      </c>
      <c r="K692" s="19" t="str">
        <f>IFERROR(__xludf.DUMMYFUNCTION("""COMPUTED_VALUE"""),"Entregada")</f>
        <v>Entregada</v>
      </c>
      <c r="L692" s="20">
        <f>IFERROR(__xludf.DUMMYFUNCTION("""COMPUTED_VALUE"""),44764.0)</f>
        <v>44764</v>
      </c>
      <c r="M692" s="19" t="str">
        <f>IFERROR(__xludf.DUMMYFUNCTION("""COMPUTED_VALUE"""),"PCM")</f>
        <v>PCM</v>
      </c>
      <c r="N692" s="19" t="str">
        <f>IFERROR(__xludf.DUMMYFUNCTION("""COMPUTED_VALUE"""),"PRIORIDAD 1 Q3 2023 OCTUBRE")</f>
        <v>PRIORIDAD 1 Q3 2023 OCTUBRE</v>
      </c>
    </row>
    <row r="693" ht="15.75" customHeight="1">
      <c r="A693" s="19" t="str">
        <f>IFERROR(__xludf.DUMMYFUNCTION("""COMPUTED_VALUE"""),"AB_9673")</f>
        <v>AB_9673</v>
      </c>
      <c r="B693" s="19" t="str">
        <f>IFERROR(__xludf.DUMMYFUNCTION("""COMPUTED_VALUE"""),"AB_9673_D")</f>
        <v>AB_9673_D</v>
      </c>
      <c r="C693" s="19" t="str">
        <f>IFERROR(__xludf.DUMMYFUNCTION("""COMPUTED_VALUE"""),"NU9673")</f>
        <v>NU9673</v>
      </c>
      <c r="D693" s="19" t="str">
        <f>IFERROR(__xludf.DUMMYFUNCTION("""COMPUTED_VALUE"""),"El Roble Yungay")</f>
        <v>El Roble Yungay</v>
      </c>
      <c r="E693" s="19" t="str">
        <f>IFERROR(__xludf.DUMMYFUNCTION("""COMPUTED_VALUE"""),"SITIO RFI")</f>
        <v>SITIO RFI</v>
      </c>
      <c r="F693" s="19" t="str">
        <f>IFERROR(__xludf.DUMMYFUNCTION("""COMPUTED_VALUE"""),"RFI")</f>
        <v>RFI</v>
      </c>
      <c r="G693" s="19" t="str">
        <f>IFERROR(__xludf.DUMMYFUNCTION("""COMPUTED_VALUE"""),"AS60")</f>
        <v>AS60</v>
      </c>
      <c r="H693" s="19" t="str">
        <f>IFERROR(__xludf.DUMMYFUNCTION("""COMPUTED_VALUE"""),"ADM")</f>
        <v>ADM</v>
      </c>
      <c r="I693" s="19" t="str">
        <f>IFERROR(__xludf.DUMMYFUNCTION("""COMPUTED_VALUE"""),"Entregada")</f>
        <v>Entregada</v>
      </c>
      <c r="J693" s="20">
        <f>IFERROR(__xludf.DUMMYFUNCTION("""COMPUTED_VALUE"""),44750.0)</f>
        <v>44750</v>
      </c>
      <c r="K693" s="19" t="str">
        <f>IFERROR(__xludf.DUMMYFUNCTION("""COMPUTED_VALUE"""),"Entregada")</f>
        <v>Entregada</v>
      </c>
      <c r="L693" s="20">
        <f>IFERROR(__xludf.DUMMYFUNCTION("""COMPUTED_VALUE"""),44890.0)</f>
        <v>44890</v>
      </c>
      <c r="M693" s="19" t="str">
        <f>IFERROR(__xludf.DUMMYFUNCTION("""COMPUTED_VALUE"""),"LLOO")</f>
        <v>LLOO</v>
      </c>
      <c r="N693" s="19" t="str">
        <f>IFERROR(__xludf.DUMMYFUNCTION("""COMPUTED_VALUE"""),"PRIORIDAD 1 Q3 2023 OCTUBRE")</f>
        <v>PRIORIDAD 1 Q3 2023 OCTUBRE</v>
      </c>
    </row>
    <row r="694" ht="15.75" customHeight="1">
      <c r="A694" s="19" t="str">
        <f>IFERROR(__xludf.DUMMYFUNCTION("""COMPUTED_VALUE"""),"AB_9676")</f>
        <v>AB_9676</v>
      </c>
      <c r="B694" s="19" t="str">
        <f>IFERROR(__xludf.DUMMYFUNCTION("""COMPUTED_VALUE"""),"AB_9676_A")</f>
        <v>AB_9676_A</v>
      </c>
      <c r="C694" s="19" t="str">
        <f>IFERROR(__xludf.DUMMYFUNCTION("""COMPUTED_VALUE"""),"NU9676")</f>
        <v>NU9676</v>
      </c>
      <c r="D694" s="19" t="str">
        <f>IFERROR(__xludf.DUMMYFUNCTION("""COMPUTED_VALUE"""),"San Miguel de Itata")</f>
        <v>San Miguel de Itata</v>
      </c>
      <c r="E694" s="19" t="str">
        <f>IFERROR(__xludf.DUMMYFUNCTION("""COMPUTED_VALUE"""),"SITIO RFI")</f>
        <v>SITIO RFI</v>
      </c>
      <c r="F694" s="19" t="str">
        <f>IFERROR(__xludf.DUMMYFUNCTION("""COMPUTED_VALUE"""),"RFI")</f>
        <v>RFI</v>
      </c>
      <c r="G694" s="19" t="str">
        <f>IFERROR(__xludf.DUMMYFUNCTION("""COMPUTED_VALUE"""),"CV48")</f>
        <v>CV48</v>
      </c>
      <c r="H694" s="19" t="str">
        <f>IFERROR(__xludf.DUMMYFUNCTION("""COMPUTED_VALUE"""),"JTI")</f>
        <v>JTI</v>
      </c>
      <c r="I694" s="19" t="str">
        <f>IFERROR(__xludf.DUMMYFUNCTION("""COMPUTED_VALUE"""),"Entregada")</f>
        <v>Entregada</v>
      </c>
      <c r="J694" s="20">
        <f>IFERROR(__xludf.DUMMYFUNCTION("""COMPUTED_VALUE"""),44859.0)</f>
        <v>44859</v>
      </c>
      <c r="K694" s="19" t="str">
        <f>IFERROR(__xludf.DUMMYFUNCTION("""COMPUTED_VALUE"""),"Entregada")</f>
        <v>Entregada</v>
      </c>
      <c r="L694" s="20">
        <f>IFERROR(__xludf.DUMMYFUNCTION("""COMPUTED_VALUE"""),44837.0)</f>
        <v>44837</v>
      </c>
      <c r="M694" s="19" t="str">
        <f>IFERROR(__xludf.DUMMYFUNCTION("""COMPUTED_VALUE"""),"PCM")</f>
        <v>PCM</v>
      </c>
      <c r="N694" s="19" t="str">
        <f>IFERROR(__xludf.DUMMYFUNCTION("""COMPUTED_VALUE"""),"PRIORIDAD 1 Q3 2023 OCTUBRE")</f>
        <v>PRIORIDAD 1 Q3 2023 OCTUBRE</v>
      </c>
    </row>
    <row r="695" ht="15.75" customHeight="1">
      <c r="A695" s="19" t="str">
        <f>IFERROR(__xludf.DUMMYFUNCTION("""COMPUTED_VALUE"""),"AB_9883")</f>
        <v>AB_9883</v>
      </c>
      <c r="B695" s="19" t="str">
        <f>IFERROR(__xludf.DUMMYFUNCTION("""COMPUTED_VALUE"""),"AB_9883_A")</f>
        <v>AB_9883_A</v>
      </c>
      <c r="C695" s="19" t="str">
        <f>IFERROR(__xludf.DUMMYFUNCTION("""COMPUTED_VALUE"""),"MG9883")</f>
        <v>MG9883</v>
      </c>
      <c r="D695" s="19" t="str">
        <f>IFERROR(__xludf.DUMMYFUNCTION("""COMPUTED_VALUE"""),"LLOO Tres Pasos")</f>
        <v>LLOO Tres Pasos</v>
      </c>
      <c r="E695" s="19" t="str">
        <f>IFERROR(__xludf.DUMMYFUNCTION("""COMPUTED_VALUE"""),"SITIO CONSTRUIDO")</f>
        <v>SITIO CONSTRUIDO</v>
      </c>
      <c r="F695" s="19"/>
      <c r="G695" s="19" t="str">
        <f>IFERROR(__xludf.DUMMYFUNCTION("""COMPUTED_VALUE"""),"AS48 (H)")</f>
        <v>AS48 (H)</v>
      </c>
      <c r="H695" s="19" t="str">
        <f>IFERROR(__xludf.DUMMYFUNCTION("""COMPUTED_VALUE"""),"JTI")</f>
        <v>JTI</v>
      </c>
      <c r="I695" s="19" t="str">
        <f>IFERROR(__xludf.DUMMYFUNCTION("""COMPUTED_VALUE"""),"Entregada")</f>
        <v>Entregada</v>
      </c>
      <c r="J695" s="20">
        <f>IFERROR(__xludf.DUMMYFUNCTION("""COMPUTED_VALUE"""),44670.0)</f>
        <v>44670</v>
      </c>
      <c r="K695" s="19" t="str">
        <f>IFERROR(__xludf.DUMMYFUNCTION("""COMPUTED_VALUE"""),"Entregada")</f>
        <v>Entregada</v>
      </c>
      <c r="L695" s="20">
        <f>IFERROR(__xludf.DUMMYFUNCTION("""COMPUTED_VALUE"""),44729.0)</f>
        <v>44729</v>
      </c>
      <c r="M695" s="19" t="str">
        <f>IFERROR(__xludf.DUMMYFUNCTION("""COMPUTED_VALUE"""),"LLOO")</f>
        <v>LLOO</v>
      </c>
      <c r="N695" s="19" t="str">
        <f>IFERROR(__xludf.DUMMYFUNCTION("""COMPUTED_VALUE"""),"PRIORIDAD 1 Q3 2023 OCTUBRE")</f>
        <v>PRIORIDAD 1 Q3 2023 OCTUBRE</v>
      </c>
    </row>
    <row r="696" ht="15.75" customHeight="1">
      <c r="A696" s="19" t="str">
        <f>IFERROR(__xludf.DUMMYFUNCTION("""COMPUTED_VALUE"""),"AB_9683")</f>
        <v>AB_9683</v>
      </c>
      <c r="B696" s="19" t="str">
        <f>IFERROR(__xludf.DUMMYFUNCTION("""COMPUTED_VALUE"""),"AB_9683_F")</f>
        <v>AB_9683_F</v>
      </c>
      <c r="C696" s="19" t="str">
        <f>IFERROR(__xludf.DUMMYFUNCTION("""COMPUTED_VALUE"""),"NU9683")</f>
        <v>NU9683</v>
      </c>
      <c r="D696" s="19" t="str">
        <f>IFERROR(__xludf.DUMMYFUNCTION("""COMPUTED_VALUE"""),"Puente Urrutia El Carmen")</f>
        <v>Puente Urrutia El Carmen</v>
      </c>
      <c r="E696" s="19" t="str">
        <f>IFERROR(__xludf.DUMMYFUNCTION("""COMPUTED_VALUE"""),"SITIO RFI")</f>
        <v>SITIO RFI</v>
      </c>
      <c r="F696" s="19" t="str">
        <f>IFERROR(__xludf.DUMMYFUNCTION("""COMPUTED_VALUE"""),"RFI")</f>
        <v>RFI</v>
      </c>
      <c r="G696" s="19" t="str">
        <f>IFERROR(__xludf.DUMMYFUNCTION("""COMPUTED_VALUE"""),"CV60")</f>
        <v>CV60</v>
      </c>
      <c r="H696" s="19" t="str">
        <f>IFERROR(__xludf.DUMMYFUNCTION("""COMPUTED_VALUE"""),"DEPROMET")</f>
        <v>DEPROMET</v>
      </c>
      <c r="I696" s="19" t="str">
        <f>IFERROR(__xludf.DUMMYFUNCTION("""COMPUTED_VALUE"""),"Entregada")</f>
        <v>Entregada</v>
      </c>
      <c r="J696" s="20">
        <f>IFERROR(__xludf.DUMMYFUNCTION("""COMPUTED_VALUE"""),44839.0)</f>
        <v>44839</v>
      </c>
      <c r="K696" s="19" t="str">
        <f>IFERROR(__xludf.DUMMYFUNCTION("""COMPUTED_VALUE"""),"Entregada")</f>
        <v>Entregada</v>
      </c>
      <c r="L696" s="20">
        <f>IFERROR(__xludf.DUMMYFUNCTION("""COMPUTED_VALUE"""),44881.0)</f>
        <v>44881</v>
      </c>
      <c r="M696" s="19" t="str">
        <f>IFERROR(__xludf.DUMMYFUNCTION("""COMPUTED_VALUE"""),"LLOO")</f>
        <v>LLOO</v>
      </c>
      <c r="N696" s="19" t="str">
        <f>IFERROR(__xludf.DUMMYFUNCTION("""COMPUTED_VALUE"""),"PRIORIDAD 1 Q3 2023 OCTUBRE")</f>
        <v>PRIORIDAD 1 Q3 2023 OCTUBRE</v>
      </c>
    </row>
    <row r="697" ht="15.75" customHeight="1">
      <c r="A697" s="19" t="str">
        <f>IFERROR(__xludf.DUMMYFUNCTION("""COMPUTED_VALUE"""),"AB_9687")</f>
        <v>AB_9687</v>
      </c>
      <c r="B697" s="19" t="str">
        <f>IFERROR(__xludf.DUMMYFUNCTION("""COMPUTED_VALUE"""),"AB_9687_A")</f>
        <v>AB_9687_A</v>
      </c>
      <c r="C697" s="19" t="str">
        <f>IFERROR(__xludf.DUMMYFUNCTION("""COMPUTED_VALUE"""),"NU9687")</f>
        <v>NU9687</v>
      </c>
      <c r="D697" s="19" t="str">
        <f>IFERROR(__xludf.DUMMYFUNCTION("""COMPUTED_VALUE"""),"Trehualemu Norte")</f>
        <v>Trehualemu Norte</v>
      </c>
      <c r="E697" s="19" t="str">
        <f>IFERROR(__xludf.DUMMYFUNCTION("""COMPUTED_VALUE"""),"SITIO RFI")</f>
        <v>SITIO RFI</v>
      </c>
      <c r="F697" s="19" t="str">
        <f>IFERROR(__xludf.DUMMYFUNCTION("""COMPUTED_VALUE"""),"RFI")</f>
        <v>RFI</v>
      </c>
      <c r="G697" s="19" t="str">
        <f>IFERROR(__xludf.DUMMYFUNCTION("""COMPUTED_VALUE"""),"CV60")</f>
        <v>CV60</v>
      </c>
      <c r="H697" s="19" t="str">
        <f>IFERROR(__xludf.DUMMYFUNCTION("""COMPUTED_VALUE"""),"DEPROMET")</f>
        <v>DEPROMET</v>
      </c>
      <c r="I697" s="19" t="str">
        <f>IFERROR(__xludf.DUMMYFUNCTION("""COMPUTED_VALUE"""),"Entregada")</f>
        <v>Entregada</v>
      </c>
      <c r="J697" s="20">
        <f>IFERROR(__xludf.DUMMYFUNCTION("""COMPUTED_VALUE"""),44893.0)</f>
        <v>44893</v>
      </c>
      <c r="K697" s="19" t="str">
        <f>IFERROR(__xludf.DUMMYFUNCTION("""COMPUTED_VALUE"""),"Entregada")</f>
        <v>Entregada</v>
      </c>
      <c r="L697" s="20">
        <f>IFERROR(__xludf.DUMMYFUNCTION("""COMPUTED_VALUE"""),44861.0)</f>
        <v>44861</v>
      </c>
      <c r="M697" s="19" t="str">
        <f>IFERROR(__xludf.DUMMYFUNCTION("""COMPUTED_VALUE"""),"LLOO")</f>
        <v>LLOO</v>
      </c>
      <c r="N697" s="19" t="str">
        <f>IFERROR(__xludf.DUMMYFUNCTION("""COMPUTED_VALUE"""),"PRIORIDAD 1 Q3 2023 OCTUBRE")</f>
        <v>PRIORIDAD 1 Q3 2023 OCTUBRE</v>
      </c>
    </row>
    <row r="698" ht="15.75" customHeight="1">
      <c r="A698" s="19" t="str">
        <f>IFERROR(__xludf.DUMMYFUNCTION("""COMPUTED_VALUE"""),"AB_9691")</f>
        <v>AB_9691</v>
      </c>
      <c r="B698" s="19" t="str">
        <f>IFERROR(__xludf.DUMMYFUNCTION("""COMPUTED_VALUE"""),"AB_9691_C")</f>
        <v>AB_9691_C</v>
      </c>
      <c r="C698" s="19" t="str">
        <f>IFERROR(__xludf.DUMMYFUNCTION("""COMPUTED_VALUE"""),"NU9691")</f>
        <v>NU9691</v>
      </c>
      <c r="D698" s="19" t="str">
        <f>IFERROR(__xludf.DUMMYFUNCTION("""COMPUTED_VALUE"""),"El Arenal Quillon")</f>
        <v>El Arenal Quillon</v>
      </c>
      <c r="E698" s="19" t="str">
        <f>IFERROR(__xludf.DUMMYFUNCTION("""COMPUTED_VALUE"""),"SITIO RFI")</f>
        <v>SITIO RFI</v>
      </c>
      <c r="F698" s="19" t="str">
        <f>IFERROR(__xludf.DUMMYFUNCTION("""COMPUTED_VALUE"""),"RFI")</f>
        <v>RFI</v>
      </c>
      <c r="G698" s="19" t="str">
        <f>IFERROR(__xludf.DUMMYFUNCTION("""COMPUTED_VALUE"""),"CV60")</f>
        <v>CV60</v>
      </c>
      <c r="H698" s="19" t="str">
        <f>IFERROR(__xludf.DUMMYFUNCTION("""COMPUTED_VALUE"""),"DEPROMET")</f>
        <v>DEPROMET</v>
      </c>
      <c r="I698" s="19" t="str">
        <f>IFERROR(__xludf.DUMMYFUNCTION("""COMPUTED_VALUE"""),"Entregada")</f>
        <v>Entregada</v>
      </c>
      <c r="J698" s="20">
        <f>IFERROR(__xludf.DUMMYFUNCTION("""COMPUTED_VALUE"""),44886.0)</f>
        <v>44886</v>
      </c>
      <c r="K698" s="19" t="str">
        <f>IFERROR(__xludf.DUMMYFUNCTION("""COMPUTED_VALUE"""),"Entregada")</f>
        <v>Entregada</v>
      </c>
      <c r="L698" s="20">
        <f>IFERROR(__xludf.DUMMYFUNCTION("""COMPUTED_VALUE"""),44911.0)</f>
        <v>44911</v>
      </c>
      <c r="M698" s="19" t="str">
        <f>IFERROR(__xludf.DUMMYFUNCTION("""COMPUTED_VALUE"""),"LLOO")</f>
        <v>LLOO</v>
      </c>
      <c r="N698" s="19" t="str">
        <f>IFERROR(__xludf.DUMMYFUNCTION("""COMPUTED_VALUE"""),"PRIORIDAD 1 Q3 2023 OCTUBRE")</f>
        <v>PRIORIDAD 1 Q3 2023 OCTUBRE</v>
      </c>
    </row>
    <row r="699" ht="15.75" customHeight="1">
      <c r="A699" s="19" t="str">
        <f>IFERROR(__xludf.DUMMYFUNCTION("""COMPUTED_VALUE"""),"AB_9695")</f>
        <v>AB_9695</v>
      </c>
      <c r="B699" s="19" t="str">
        <f>IFERROR(__xludf.DUMMYFUNCTION("""COMPUTED_VALUE"""),"AB_9695_A")</f>
        <v>AB_9695_A</v>
      </c>
      <c r="C699" s="19" t="str">
        <f>IFERROR(__xludf.DUMMYFUNCTION("""COMPUTED_VALUE"""),"NU9695")</f>
        <v>NU9695</v>
      </c>
      <c r="D699" s="19" t="str">
        <f>IFERROR(__xludf.DUMMYFUNCTION("""COMPUTED_VALUE"""),"Flor de Quihua")</f>
        <v>Flor de Quihua</v>
      </c>
      <c r="E699" s="19" t="str">
        <f>IFERROR(__xludf.DUMMYFUNCTION("""COMPUTED_VALUE"""),"SITIO RFI")</f>
        <v>SITIO RFI</v>
      </c>
      <c r="F699" s="19" t="str">
        <f>IFERROR(__xludf.DUMMYFUNCTION("""COMPUTED_VALUE"""),"RFI")</f>
        <v>RFI</v>
      </c>
      <c r="G699" s="19" t="str">
        <f>IFERROR(__xludf.DUMMYFUNCTION("""COMPUTED_VALUE"""),"CV48")</f>
        <v>CV48</v>
      </c>
      <c r="H699" s="19" t="str">
        <f>IFERROR(__xludf.DUMMYFUNCTION("""COMPUTED_VALUE"""),"JTI")</f>
        <v>JTI</v>
      </c>
      <c r="I699" s="19" t="str">
        <f>IFERROR(__xludf.DUMMYFUNCTION("""COMPUTED_VALUE"""),"Entregada")</f>
        <v>Entregada</v>
      </c>
      <c r="J699" s="20">
        <f>IFERROR(__xludf.DUMMYFUNCTION("""COMPUTED_VALUE"""),44893.0)</f>
        <v>44893</v>
      </c>
      <c r="K699" s="19" t="str">
        <f>IFERROR(__xludf.DUMMYFUNCTION("""COMPUTED_VALUE"""),"Entregada")</f>
        <v>Entregada</v>
      </c>
      <c r="L699" s="20">
        <f>IFERROR(__xludf.DUMMYFUNCTION("""COMPUTED_VALUE"""),44902.0)</f>
        <v>44902</v>
      </c>
      <c r="M699" s="19" t="str">
        <f>IFERROR(__xludf.DUMMYFUNCTION("""COMPUTED_VALUE"""),"LLOO")</f>
        <v>LLOO</v>
      </c>
      <c r="N699" s="19" t="str">
        <f>IFERROR(__xludf.DUMMYFUNCTION("""COMPUTED_VALUE"""),"PRIORIDAD 1 Q3 2023 OCTUBRE")</f>
        <v>PRIORIDAD 1 Q3 2023 OCTUBRE</v>
      </c>
    </row>
    <row r="700" ht="15.75" customHeight="1">
      <c r="A700" s="19" t="str">
        <f>IFERROR(__xludf.DUMMYFUNCTION("""COMPUTED_VALUE"""),"AB_9698")</f>
        <v>AB_9698</v>
      </c>
      <c r="B700" s="19" t="str">
        <f>IFERROR(__xludf.DUMMYFUNCTION("""COMPUTED_VALUE"""),"AB_9698_C")</f>
        <v>AB_9698_C</v>
      </c>
      <c r="C700" s="19" t="str">
        <f>IFERROR(__xludf.DUMMYFUNCTION("""COMPUTED_VALUE"""),"NU9698")</f>
        <v>NU9698</v>
      </c>
      <c r="D700" s="19" t="str">
        <f>IFERROR(__xludf.DUMMYFUNCTION("""COMPUTED_VALUE"""),"Los Queñes Coihueco")</f>
        <v>Los Queñes Coihueco</v>
      </c>
      <c r="E700" s="19" t="str">
        <f>IFERROR(__xludf.DUMMYFUNCTION("""COMPUTED_VALUE"""),"SITIO EN CONSTRUCCION")</f>
        <v>SITIO EN CONSTRUCCION</v>
      </c>
      <c r="F700" s="19" t="str">
        <f>IFERROR(__xludf.DUMMYFUNCTION("""COMPUTED_VALUE"""),"ENFIERRADURA")</f>
        <v>ENFIERRADURA</v>
      </c>
      <c r="G700" s="19" t="str">
        <f>IFERROR(__xludf.DUMMYFUNCTION("""COMPUTED_VALUE"""),"AS60")</f>
        <v>AS60</v>
      </c>
      <c r="H700" s="19" t="str">
        <f>IFERROR(__xludf.DUMMYFUNCTION("""COMPUTED_VALUE"""),"MARJOS")</f>
        <v>MARJOS</v>
      </c>
      <c r="I700" s="19" t="str">
        <f>IFERROR(__xludf.DUMMYFUNCTION("""COMPUTED_VALUE"""),"Entregada")</f>
        <v>Entregada</v>
      </c>
      <c r="J700" s="20">
        <f>IFERROR(__xludf.DUMMYFUNCTION("""COMPUTED_VALUE"""),44656.0)</f>
        <v>44656</v>
      </c>
      <c r="K700" s="19" t="str">
        <f>IFERROR(__xludf.DUMMYFUNCTION("""COMPUTED_VALUE"""),"Terminada")</f>
        <v>Terminada</v>
      </c>
      <c r="L700" s="20">
        <f>IFERROR(__xludf.DUMMYFUNCTION("""COMPUTED_VALUE"""),44762.0)</f>
        <v>44762</v>
      </c>
      <c r="M700" s="19" t="str">
        <f>IFERROR(__xludf.DUMMYFUNCTION("""COMPUTED_VALUE"""),"LLOO")</f>
        <v>LLOO</v>
      </c>
      <c r="N700" s="19" t="str">
        <f>IFERROR(__xludf.DUMMYFUNCTION("""COMPUTED_VALUE"""),"PRIORIDAD 1 Q3 2023 OCTUBRE")</f>
        <v>PRIORIDAD 1 Q3 2023 OCTUBRE</v>
      </c>
    </row>
    <row r="701" ht="15.75" customHeight="1">
      <c r="A701" s="19" t="str">
        <f>IFERROR(__xludf.DUMMYFUNCTION("""COMPUTED_VALUE"""),"AB_9704")</f>
        <v>AB_9704</v>
      </c>
      <c r="B701" s="19" t="str">
        <f>IFERROR(__xludf.DUMMYFUNCTION("""COMPUTED_VALUE"""),"AB_9704_F")</f>
        <v>AB_9704_F</v>
      </c>
      <c r="C701" s="19" t="str">
        <f>IFERROR(__xludf.DUMMYFUNCTION("""COMPUTED_VALUE"""),"NU9704")</f>
        <v>NU9704</v>
      </c>
      <c r="D701" s="19" t="str">
        <f>IFERROR(__xludf.DUMMYFUNCTION("""COMPUTED_VALUE"""),"Junquillo")</f>
        <v>Junquillo</v>
      </c>
      <c r="E701" s="19" t="str">
        <f>IFERROR(__xludf.DUMMYFUNCTION("""COMPUTED_VALUE"""),"SITIO RFI")</f>
        <v>SITIO RFI</v>
      </c>
      <c r="F701" s="19" t="str">
        <f>IFERROR(__xludf.DUMMYFUNCTION("""COMPUTED_VALUE"""),"RFI")</f>
        <v>RFI</v>
      </c>
      <c r="G701" s="19" t="str">
        <f>IFERROR(__xludf.DUMMYFUNCTION("""COMPUTED_VALUE"""),"AS60")</f>
        <v>AS60</v>
      </c>
      <c r="H701" s="19" t="str">
        <f>IFERROR(__xludf.DUMMYFUNCTION("""COMPUTED_VALUE"""),"ADM")</f>
        <v>ADM</v>
      </c>
      <c r="I701" s="19" t="str">
        <f>IFERROR(__xludf.DUMMYFUNCTION("""COMPUTED_VALUE"""),"Entregada")</f>
        <v>Entregada</v>
      </c>
      <c r="J701" s="20">
        <f>IFERROR(__xludf.DUMMYFUNCTION("""COMPUTED_VALUE"""),44750.0)</f>
        <v>44750</v>
      </c>
      <c r="K701" s="19" t="str">
        <f>IFERROR(__xludf.DUMMYFUNCTION("""COMPUTED_VALUE"""),"Entregada")</f>
        <v>Entregada</v>
      </c>
      <c r="L701" s="20">
        <f>IFERROR(__xludf.DUMMYFUNCTION("""COMPUTED_VALUE"""),44890.0)</f>
        <v>44890</v>
      </c>
      <c r="M701" s="19" t="str">
        <f>IFERROR(__xludf.DUMMYFUNCTION("""COMPUTED_VALUE"""),"LLOO")</f>
        <v>LLOO</v>
      </c>
      <c r="N701" s="19" t="str">
        <f>IFERROR(__xludf.DUMMYFUNCTION("""COMPUTED_VALUE"""),"PRIORIDAD 1 Q3 2023 OCTUBRE")</f>
        <v>PRIORIDAD 1 Q3 2023 OCTUBRE</v>
      </c>
    </row>
    <row r="702" ht="15.75" customHeight="1">
      <c r="A702" s="19" t="str">
        <f>IFERROR(__xludf.DUMMYFUNCTION("""COMPUTED_VALUE"""),"AB_9884")</f>
        <v>AB_9884</v>
      </c>
      <c r="B702" s="19" t="str">
        <f>IFERROR(__xludf.DUMMYFUNCTION("""COMPUTED_VALUE"""),"AB_9884_A")</f>
        <v>AB_9884_A</v>
      </c>
      <c r="C702" s="19" t="str">
        <f>IFERROR(__xludf.DUMMYFUNCTION("""COMPUTED_VALUE"""),"MG9884")</f>
        <v>MG9884</v>
      </c>
      <c r="D702" s="19" t="str">
        <f>IFERROR(__xludf.DUMMYFUNCTION("""COMPUTED_VALUE"""),"LLOO Tramo puesto al medio a Russfin")</f>
        <v>LLOO Tramo puesto al medio a Russfin</v>
      </c>
      <c r="E702" s="19" t="str">
        <f>IFERROR(__xludf.DUMMYFUNCTION("""COMPUTED_VALUE"""),"SITIO CONSTRUIDO")</f>
        <v>SITIO CONSTRUIDO</v>
      </c>
      <c r="F702" s="19"/>
      <c r="G702" s="19" t="str">
        <f>IFERROR(__xludf.DUMMYFUNCTION("""COMPUTED_VALUE"""),"AS48")</f>
        <v>AS48</v>
      </c>
      <c r="H702" s="19" t="str">
        <f>IFERROR(__xludf.DUMMYFUNCTION("""COMPUTED_VALUE"""),"METALING")</f>
        <v>METALING</v>
      </c>
      <c r="I702" s="19" t="str">
        <f>IFERROR(__xludf.DUMMYFUNCTION("""COMPUTED_VALUE"""),"Terminada")</f>
        <v>Terminada</v>
      </c>
      <c r="J702" s="20">
        <f>IFERROR(__xludf.DUMMYFUNCTION("""COMPUTED_VALUE"""),44876.0)</f>
        <v>44876</v>
      </c>
      <c r="K702" s="19" t="str">
        <f>IFERROR(__xludf.DUMMYFUNCTION("""COMPUTED_VALUE"""),"Terminada")</f>
        <v>Terminada</v>
      </c>
      <c r="L702" s="20">
        <f>IFERROR(__xludf.DUMMYFUNCTION("""COMPUTED_VALUE"""),44924.0)</f>
        <v>44924</v>
      </c>
      <c r="M702" s="19" t="str">
        <f>IFERROR(__xludf.DUMMYFUNCTION("""COMPUTED_VALUE"""),"LLOO")</f>
        <v>LLOO</v>
      </c>
      <c r="N702" s="19" t="str">
        <f>IFERROR(__xludf.DUMMYFUNCTION("""COMPUTED_VALUE"""),"PRIORIDAD 1 Q3 2023 OCTUBRE")</f>
        <v>PRIORIDAD 1 Q3 2023 OCTUBRE</v>
      </c>
    </row>
    <row r="703" ht="15.75" customHeight="1">
      <c r="A703" s="19" t="str">
        <f>IFERROR(__xludf.DUMMYFUNCTION("""COMPUTED_VALUE"""),"AB_9722")</f>
        <v>AB_9722</v>
      </c>
      <c r="B703" s="19" t="str">
        <f>IFERROR(__xludf.DUMMYFUNCTION("""COMPUTED_VALUE"""),"AB_9722_A")</f>
        <v>AB_9722_A</v>
      </c>
      <c r="C703" s="19" t="str">
        <f>IFERROR(__xludf.DUMMYFUNCTION("""COMPUTED_VALUE"""),"NU9722")</f>
        <v>NU9722</v>
      </c>
      <c r="D703" s="19" t="str">
        <f>IFERROR(__xludf.DUMMYFUNCTION("""COMPUTED_VALUE"""),"Curica")</f>
        <v>Curica</v>
      </c>
      <c r="E703" s="19" t="str">
        <f>IFERROR(__xludf.DUMMYFUNCTION("""COMPUTED_VALUE"""),"SITIO RFI")</f>
        <v>SITIO RFI</v>
      </c>
      <c r="F703" s="19" t="str">
        <f>IFERROR(__xludf.DUMMYFUNCTION("""COMPUTED_VALUE"""),"RFI")</f>
        <v>RFI</v>
      </c>
      <c r="G703" s="19" t="str">
        <f>IFERROR(__xludf.DUMMYFUNCTION("""COMPUTED_VALUE"""),"CV60")</f>
        <v>CV60</v>
      </c>
      <c r="H703" s="19" t="str">
        <f>IFERROR(__xludf.DUMMYFUNCTION("""COMPUTED_VALUE"""),"DEPROMET")</f>
        <v>DEPROMET</v>
      </c>
      <c r="I703" s="19" t="str">
        <f>IFERROR(__xludf.DUMMYFUNCTION("""COMPUTED_VALUE"""),"Entregada")</f>
        <v>Entregada</v>
      </c>
      <c r="J703" s="20">
        <f>IFERROR(__xludf.DUMMYFUNCTION("""COMPUTED_VALUE"""),44839.0)</f>
        <v>44839</v>
      </c>
      <c r="K703" s="19" t="str">
        <f>IFERROR(__xludf.DUMMYFUNCTION("""COMPUTED_VALUE"""),"Entregada")</f>
        <v>Entregada</v>
      </c>
      <c r="L703" s="20">
        <f>IFERROR(__xludf.DUMMYFUNCTION("""COMPUTED_VALUE"""),44861.0)</f>
        <v>44861</v>
      </c>
      <c r="M703" s="19" t="str">
        <f>IFERROR(__xludf.DUMMYFUNCTION("""COMPUTED_VALUE"""),"LLOO")</f>
        <v>LLOO</v>
      </c>
      <c r="N703" s="19" t="str">
        <f>IFERROR(__xludf.DUMMYFUNCTION("""COMPUTED_VALUE"""),"PRIORIDAD 1 Q3 2023 OCTUBRE")</f>
        <v>PRIORIDAD 1 Q3 2023 OCTUBRE</v>
      </c>
    </row>
    <row r="704" ht="15.75" customHeight="1">
      <c r="A704" s="19" t="str">
        <f>IFERROR(__xludf.DUMMYFUNCTION("""COMPUTED_VALUE"""),"AB_9725")</f>
        <v>AB_9725</v>
      </c>
      <c r="B704" s="19" t="str">
        <f>IFERROR(__xludf.DUMMYFUNCTION("""COMPUTED_VALUE"""),"AB_9725_B")</f>
        <v>AB_9725_B</v>
      </c>
      <c r="C704" s="19" t="str">
        <f>IFERROR(__xludf.DUMMYFUNCTION("""COMPUTED_VALUE"""),"NU9725")</f>
        <v>NU9725</v>
      </c>
      <c r="D704" s="19" t="str">
        <f>IFERROR(__xludf.DUMMYFUNCTION("""COMPUTED_VALUE"""),"Llahuen Bajo")</f>
        <v>Llahuen Bajo</v>
      </c>
      <c r="E704" s="19" t="str">
        <f>IFERROR(__xludf.DUMMYFUNCTION("""COMPUTED_VALUE"""),"SITIO RFI")</f>
        <v>SITIO RFI</v>
      </c>
      <c r="F704" s="19" t="str">
        <f>IFERROR(__xludf.DUMMYFUNCTION("""COMPUTED_VALUE"""),"RFI")</f>
        <v>RFI</v>
      </c>
      <c r="G704" s="19" t="str">
        <f>IFERROR(__xludf.DUMMYFUNCTION("""COMPUTED_VALUE"""),"CV60")</f>
        <v>CV60</v>
      </c>
      <c r="H704" s="19" t="str">
        <f>IFERROR(__xludf.DUMMYFUNCTION("""COMPUTED_VALUE"""),"DEPROMET")</f>
        <v>DEPROMET</v>
      </c>
      <c r="I704" s="19" t="str">
        <f>IFERROR(__xludf.DUMMYFUNCTION("""COMPUTED_VALUE"""),"Entregada")</f>
        <v>Entregada</v>
      </c>
      <c r="J704" s="20">
        <f>IFERROR(__xludf.DUMMYFUNCTION("""COMPUTED_VALUE"""),44839.0)</f>
        <v>44839</v>
      </c>
      <c r="K704" s="19" t="str">
        <f>IFERROR(__xludf.DUMMYFUNCTION("""COMPUTED_VALUE"""),"Entregada")</f>
        <v>Entregada</v>
      </c>
      <c r="L704" s="20">
        <f>IFERROR(__xludf.DUMMYFUNCTION("""COMPUTED_VALUE"""),44861.0)</f>
        <v>44861</v>
      </c>
      <c r="M704" s="19" t="str">
        <f>IFERROR(__xludf.DUMMYFUNCTION("""COMPUTED_VALUE"""),"LLOO")</f>
        <v>LLOO</v>
      </c>
      <c r="N704" s="19" t="str">
        <f>IFERROR(__xludf.DUMMYFUNCTION("""COMPUTED_VALUE"""),"PRIORIDAD 1 Q3 2023 OCTUBRE")</f>
        <v>PRIORIDAD 1 Q3 2023 OCTUBRE</v>
      </c>
    </row>
    <row r="705" ht="15.75" customHeight="1">
      <c r="A705" s="19" t="str">
        <f>IFERROR(__xludf.DUMMYFUNCTION("""COMPUTED_VALUE"""),"AB_9728")</f>
        <v>AB_9728</v>
      </c>
      <c r="B705" s="19" t="str">
        <f>IFERROR(__xludf.DUMMYFUNCTION("""COMPUTED_VALUE"""),"AB_9728_D")</f>
        <v>AB_9728_D</v>
      </c>
      <c r="C705" s="19" t="str">
        <f>IFERROR(__xludf.DUMMYFUNCTION("""COMPUTED_VALUE"""),"NU9728")</f>
        <v>NU9728</v>
      </c>
      <c r="D705" s="19" t="str">
        <f>IFERROR(__xludf.DUMMYFUNCTION("""COMPUTED_VALUE"""),"Antiquereo")</f>
        <v>Antiquereo</v>
      </c>
      <c r="E705" s="19" t="str">
        <f>IFERROR(__xludf.DUMMYFUNCTION("""COMPUTED_VALUE"""),"SITIO RFI")</f>
        <v>SITIO RFI</v>
      </c>
      <c r="F705" s="19" t="str">
        <f>IFERROR(__xludf.DUMMYFUNCTION("""COMPUTED_VALUE"""),"RFI")</f>
        <v>RFI</v>
      </c>
      <c r="G705" s="19" t="str">
        <f>IFERROR(__xludf.DUMMYFUNCTION("""COMPUTED_VALUE"""),"CV60")</f>
        <v>CV60</v>
      </c>
      <c r="H705" s="19" t="str">
        <f>IFERROR(__xludf.DUMMYFUNCTION("""COMPUTED_VALUE"""),"DEPROMET")</f>
        <v>DEPROMET</v>
      </c>
      <c r="I705" s="19" t="str">
        <f>IFERROR(__xludf.DUMMYFUNCTION("""COMPUTED_VALUE"""),"Entregada")</f>
        <v>Entregada</v>
      </c>
      <c r="J705" s="20">
        <f>IFERROR(__xludf.DUMMYFUNCTION("""COMPUTED_VALUE"""),44839.0)</f>
        <v>44839</v>
      </c>
      <c r="K705" s="19" t="str">
        <f>IFERROR(__xludf.DUMMYFUNCTION("""COMPUTED_VALUE"""),"Entregada")</f>
        <v>Entregada</v>
      </c>
      <c r="L705" s="20">
        <f>IFERROR(__xludf.DUMMYFUNCTION("""COMPUTED_VALUE"""),44881.0)</f>
        <v>44881</v>
      </c>
      <c r="M705" s="19" t="str">
        <f>IFERROR(__xludf.DUMMYFUNCTION("""COMPUTED_VALUE"""),"LLOO")</f>
        <v>LLOO</v>
      </c>
      <c r="N705" s="19" t="str">
        <f>IFERROR(__xludf.DUMMYFUNCTION("""COMPUTED_VALUE"""),"PRIORIDAD 1 Q3 2023 OCTUBRE")</f>
        <v>PRIORIDAD 1 Q3 2023 OCTUBRE</v>
      </c>
    </row>
    <row r="706" ht="15.75" customHeight="1">
      <c r="A706" s="19" t="str">
        <f>IFERROR(__xludf.DUMMYFUNCTION("""COMPUTED_VALUE"""),"AB_9731")</f>
        <v>AB_9731</v>
      </c>
      <c r="B706" s="19" t="str">
        <f>IFERROR(__xludf.DUMMYFUNCTION("""COMPUTED_VALUE"""),"AB_9731_C")</f>
        <v>AB_9731_C</v>
      </c>
      <c r="C706" s="19" t="str">
        <f>IFERROR(__xludf.DUMMYFUNCTION("""COMPUTED_VALUE"""),"NU9731")</f>
        <v>NU9731</v>
      </c>
      <c r="D706" s="19" t="str">
        <f>IFERROR(__xludf.DUMMYFUNCTION("""COMPUTED_VALUE"""),"El Saltillo")</f>
        <v>El Saltillo</v>
      </c>
      <c r="E706" s="19" t="str">
        <f>IFERROR(__xludf.DUMMYFUNCTION("""COMPUTED_VALUE"""),"SITIO RFI")</f>
        <v>SITIO RFI</v>
      </c>
      <c r="F706" s="19" t="str">
        <f>IFERROR(__xludf.DUMMYFUNCTION("""COMPUTED_VALUE"""),"RFI")</f>
        <v>RFI</v>
      </c>
      <c r="G706" s="19" t="str">
        <f>IFERROR(__xludf.DUMMYFUNCTION("""COMPUTED_VALUE"""),"CV48")</f>
        <v>CV48</v>
      </c>
      <c r="H706" s="19" t="str">
        <f>IFERROR(__xludf.DUMMYFUNCTION("""COMPUTED_VALUE"""),"JTI")</f>
        <v>JTI</v>
      </c>
      <c r="I706" s="19" t="str">
        <f>IFERROR(__xludf.DUMMYFUNCTION("""COMPUTED_VALUE"""),"Entregada")</f>
        <v>Entregada</v>
      </c>
      <c r="J706" s="20">
        <f>IFERROR(__xludf.DUMMYFUNCTION("""COMPUTED_VALUE"""),44883.0)</f>
        <v>44883</v>
      </c>
      <c r="K706" s="19" t="str">
        <f>IFERROR(__xludf.DUMMYFUNCTION("""COMPUTED_VALUE"""),"Entregada")</f>
        <v>Entregada</v>
      </c>
      <c r="L706" s="20">
        <f>IFERROR(__xludf.DUMMYFUNCTION("""COMPUTED_VALUE"""),44897.0)</f>
        <v>44897</v>
      </c>
      <c r="M706" s="19" t="str">
        <f>IFERROR(__xludf.DUMMYFUNCTION("""COMPUTED_VALUE"""),"LLOO")</f>
        <v>LLOO</v>
      </c>
      <c r="N706" s="19" t="str">
        <f>IFERROR(__xludf.DUMMYFUNCTION("""COMPUTED_VALUE"""),"PRIORIDAD 1 Q3 2023 OCTUBRE")</f>
        <v>PRIORIDAD 1 Q3 2023 OCTUBRE</v>
      </c>
    </row>
    <row r="707" ht="15.75" customHeight="1">
      <c r="A707" s="19" t="str">
        <f>IFERROR(__xludf.DUMMYFUNCTION("""COMPUTED_VALUE"""),"AB_9891")</f>
        <v>AB_9891</v>
      </c>
      <c r="B707" s="19" t="str">
        <f>IFERROR(__xludf.DUMMYFUNCTION("""COMPUTED_VALUE"""),"AB_9891_D")</f>
        <v>AB_9891_D</v>
      </c>
      <c r="C707" s="19" t="str">
        <f>IFERROR(__xludf.DUMMYFUNCTION("""COMPUTED_VALUE"""),"MG9891")</f>
        <v>MG9891</v>
      </c>
      <c r="D707" s="19" t="str">
        <f>IFERROR(__xludf.DUMMYFUNCTION("""COMPUTED_VALUE"""),"LLOO Puerto Prat")</f>
        <v>LLOO Puerto Prat</v>
      </c>
      <c r="E707" s="19" t="str">
        <f>IFERROR(__xludf.DUMMYFUNCTION("""COMPUTED_VALUE"""),"SITIO CONSTRUIDO")</f>
        <v>SITIO CONSTRUIDO</v>
      </c>
      <c r="F707" s="19"/>
      <c r="G707" s="19" t="str">
        <f>IFERROR(__xludf.DUMMYFUNCTION("""COMPUTED_VALUE"""),"AS60 (H)")</f>
        <v>AS60 (H)</v>
      </c>
      <c r="H707" s="19" t="str">
        <f>IFERROR(__xludf.DUMMYFUNCTION("""COMPUTED_VALUE"""),"MER")</f>
        <v>MER</v>
      </c>
      <c r="I707" s="19" t="str">
        <f>IFERROR(__xludf.DUMMYFUNCTION("""COMPUTED_VALUE"""),"Terminada")</f>
        <v>Terminada</v>
      </c>
      <c r="J707" s="20">
        <f>IFERROR(__xludf.DUMMYFUNCTION("""COMPUTED_VALUE"""),45012.0)</f>
        <v>45012</v>
      </c>
      <c r="K707" s="19" t="str">
        <f>IFERROR(__xludf.DUMMYFUNCTION("""COMPUTED_VALUE"""),"Por pintar ")</f>
        <v>Por pintar </v>
      </c>
      <c r="L707" s="20">
        <f>IFERROR(__xludf.DUMMYFUNCTION("""COMPUTED_VALUE"""),45012.0)</f>
        <v>45012</v>
      </c>
      <c r="M707" s="19" t="str">
        <f>IFERROR(__xludf.DUMMYFUNCTION("""COMPUTED_VALUE"""),"LLOO")</f>
        <v>LLOO</v>
      </c>
      <c r="N707" s="19" t="str">
        <f>IFERROR(__xludf.DUMMYFUNCTION("""COMPUTED_VALUE"""),"PRIORIDAD 1 Q3 2023 OCTUBRE")</f>
        <v>PRIORIDAD 1 Q3 2023 OCTUBRE</v>
      </c>
    </row>
    <row r="708" ht="15.75" customHeight="1">
      <c r="A708" s="19" t="str">
        <f>IFERROR(__xludf.DUMMYFUNCTION("""COMPUTED_VALUE"""),"AB_9900")</f>
        <v>AB_9900</v>
      </c>
      <c r="B708" s="19" t="str">
        <f>IFERROR(__xludf.DUMMYFUNCTION("""COMPUTED_VALUE"""),"AB_9900_A")</f>
        <v>AB_9900_A</v>
      </c>
      <c r="C708" s="19" t="str">
        <f>IFERROR(__xludf.DUMMYFUNCTION("""COMPUTED_VALUE"""),"MG9900")</f>
        <v>MG9900</v>
      </c>
      <c r="D708" s="19" t="str">
        <f>IFERROR(__xludf.DUMMYFUNCTION("""COMPUTED_VALUE"""),"LLOO Caleta Maria")</f>
        <v>LLOO Caleta Maria</v>
      </c>
      <c r="E708" s="19" t="str">
        <f>IFERROR(__xludf.DUMMYFUNCTION("""COMPUTED_VALUE"""),"SITIO CONSTRUIDO")</f>
        <v>SITIO CONSTRUIDO</v>
      </c>
      <c r="F708" s="19"/>
      <c r="G708" s="19" t="str">
        <f>IFERROR(__xludf.DUMMYFUNCTION("""COMPUTED_VALUE"""),"AS36 (H)")</f>
        <v>AS36 (H)</v>
      </c>
      <c r="H708" s="19" t="str">
        <f>IFERROR(__xludf.DUMMYFUNCTION("""COMPUTED_VALUE"""),"JTI")</f>
        <v>JTI</v>
      </c>
      <c r="I708" s="19" t="str">
        <f>IFERROR(__xludf.DUMMYFUNCTION("""COMPUTED_VALUE"""),"Entregada")</f>
        <v>Entregada</v>
      </c>
      <c r="J708" s="20">
        <f>IFERROR(__xludf.DUMMYFUNCTION("""COMPUTED_VALUE"""),44670.0)</f>
        <v>44670</v>
      </c>
      <c r="K708" s="19" t="str">
        <f>IFERROR(__xludf.DUMMYFUNCTION("""COMPUTED_VALUE"""),"Entregada")</f>
        <v>Entregada</v>
      </c>
      <c r="L708" s="20">
        <f>IFERROR(__xludf.DUMMYFUNCTION("""COMPUTED_VALUE"""),44694.0)</f>
        <v>44694</v>
      </c>
      <c r="M708" s="19" t="str">
        <f>IFERROR(__xludf.DUMMYFUNCTION("""COMPUTED_VALUE"""),"LLOO")</f>
        <v>LLOO</v>
      </c>
      <c r="N708" s="19" t="str">
        <f>IFERROR(__xludf.DUMMYFUNCTION("""COMPUTED_VALUE"""),"PRIORIDAD 1 Q3 2023 OCTUBRE")</f>
        <v>PRIORIDAD 1 Q3 2023 OCTUBRE</v>
      </c>
    </row>
    <row r="709" ht="15.75" customHeight="1">
      <c r="A709" s="19" t="str">
        <f>IFERROR(__xludf.DUMMYFUNCTION("""COMPUTED_VALUE"""),"AB_1017")</f>
        <v>AB_1017</v>
      </c>
      <c r="B709" s="19" t="str">
        <f>IFERROR(__xludf.DUMMYFUNCTION("""COMPUTED_VALUE"""),"AB_1017_B")</f>
        <v>AB_1017_B</v>
      </c>
      <c r="C709" s="19" t="str">
        <f>IFERROR(__xludf.DUMMYFUNCTION("""COMPUTED_VALUE"""),"NU1017")</f>
        <v>NU1017</v>
      </c>
      <c r="D709" s="19" t="str">
        <f>IFERROR(__xludf.DUMMYFUNCTION("""COMPUTED_VALUE"""),"Pueblo Seco")</f>
        <v>Pueblo Seco</v>
      </c>
      <c r="E709" s="19" t="str">
        <f>IFERROR(__xludf.DUMMYFUNCTION("""COMPUTED_VALUE"""),"SITIO RFI")</f>
        <v>SITIO RFI</v>
      </c>
      <c r="F709" s="19" t="str">
        <f>IFERROR(__xludf.DUMMYFUNCTION("""COMPUTED_VALUE"""),"CIERRE")</f>
        <v>CIERRE</v>
      </c>
      <c r="G709" s="19" t="str">
        <f>IFERROR(__xludf.DUMMYFUNCTION("""COMPUTED_VALUE"""),"AS48")</f>
        <v>AS48</v>
      </c>
      <c r="H709" s="19" t="str">
        <f>IFERROR(__xludf.DUMMYFUNCTION("""COMPUTED_VALUE"""),"MER")</f>
        <v>MER</v>
      </c>
      <c r="I709" s="19" t="str">
        <f>IFERROR(__xludf.DUMMYFUNCTION("""COMPUTED_VALUE"""),"Entregada")</f>
        <v>Entregada</v>
      </c>
      <c r="J709" s="20">
        <f>IFERROR(__xludf.DUMMYFUNCTION("""COMPUTED_VALUE"""),44722.0)</f>
        <v>44722</v>
      </c>
      <c r="K709" s="19" t="str">
        <f>IFERROR(__xludf.DUMMYFUNCTION("""COMPUTED_VALUE"""),"Entregada")</f>
        <v>Entregada</v>
      </c>
      <c r="L709" s="20">
        <f>IFERROR(__xludf.DUMMYFUNCTION("""COMPUTED_VALUE"""),44770.0)</f>
        <v>44770</v>
      </c>
      <c r="M709" s="19" t="str">
        <f>IFERROR(__xludf.DUMMYFUNCTION("""COMPUTED_VALUE"""),"PCM")</f>
        <v>PCM</v>
      </c>
      <c r="N709" s="19" t="str">
        <f>IFERROR(__xludf.DUMMYFUNCTION("""COMPUTED_VALUE"""),"PRIORIDAD 1 Q3 2023 OCTUBRE")</f>
        <v>PRIORIDAD 1 Q3 2023 OCTUBRE</v>
      </c>
    </row>
    <row r="710" ht="15.75" customHeight="1">
      <c r="A710" s="19" t="str">
        <f>IFERROR(__xludf.DUMMYFUNCTION("""COMPUTED_VALUE"""),"AB_9744")</f>
        <v>AB_9744</v>
      </c>
      <c r="B710" s="19" t="str">
        <f>IFERROR(__xludf.DUMMYFUNCTION("""COMPUTED_VALUE"""),"AB_9744_C")</f>
        <v>AB_9744_C</v>
      </c>
      <c r="C710" s="19" t="str">
        <f>IFERROR(__xludf.DUMMYFUNCTION("""COMPUTED_VALUE"""),"NU9744")</f>
        <v>NU9744</v>
      </c>
      <c r="D710" s="19" t="str">
        <f>IFERROR(__xludf.DUMMYFUNCTION("""COMPUTED_VALUE"""),"Laguna Chacayal")</f>
        <v>Laguna Chacayal</v>
      </c>
      <c r="E710" s="19" t="str">
        <f>IFERROR(__xludf.DUMMYFUNCTION("""COMPUTED_VALUE"""),"SITIO FIRMADO")</f>
        <v>SITIO FIRMADO</v>
      </c>
      <c r="F710" s="19"/>
      <c r="G710" s="19" t="str">
        <f>IFERROR(__xludf.DUMMYFUNCTION("""COMPUTED_VALUE"""),"AS42")</f>
        <v>AS42</v>
      </c>
      <c r="H710" s="19" t="str">
        <f>IFERROR(__xludf.DUMMYFUNCTION("""COMPUTED_VALUE"""),"MER")</f>
        <v>MER</v>
      </c>
      <c r="I710" s="19" t="str">
        <f>IFERROR(__xludf.DUMMYFUNCTION("""COMPUTED_VALUE"""),"Terminada")</f>
        <v>Terminada</v>
      </c>
      <c r="J710" s="20">
        <f>IFERROR(__xludf.DUMMYFUNCTION("""COMPUTED_VALUE"""),44862.0)</f>
        <v>44862</v>
      </c>
      <c r="K710" s="19" t="str">
        <f>IFERROR(__xludf.DUMMYFUNCTION("""COMPUTED_VALUE"""),"Por pintar ")</f>
        <v>Por pintar </v>
      </c>
      <c r="L710" s="20">
        <f>IFERROR(__xludf.DUMMYFUNCTION("""COMPUTED_VALUE"""),44876.0)</f>
        <v>44876</v>
      </c>
      <c r="M710" s="19" t="str">
        <f>IFERROR(__xludf.DUMMYFUNCTION("""COMPUTED_VALUE"""),"LLOO")</f>
        <v>LLOO</v>
      </c>
      <c r="N710" s="19" t="str">
        <f>IFERROR(__xludf.DUMMYFUNCTION("""COMPUTED_VALUE"""),"PRIORIDAD 1 Q3 2023 OCTUBRE")</f>
        <v>PRIORIDAD 1 Q3 2023 OCTUBRE</v>
      </c>
    </row>
    <row r="711" ht="15.75" customHeight="1">
      <c r="A711" s="19" t="str">
        <f>IFERROR(__xludf.DUMMYFUNCTION("""COMPUTED_VALUE"""),"AB_9750")</f>
        <v>AB_9750</v>
      </c>
      <c r="B711" s="19" t="str">
        <f>IFERROR(__xludf.DUMMYFUNCTION("""COMPUTED_VALUE"""),"AB_9750_D")</f>
        <v>AB_9750_D</v>
      </c>
      <c r="C711" s="19" t="str">
        <f>IFERROR(__xludf.DUMMYFUNCTION("""COMPUTED_VALUE"""),"NU9750")</f>
        <v>NU9750</v>
      </c>
      <c r="D711" s="19" t="str">
        <f>IFERROR(__xludf.DUMMYFUNCTION("""COMPUTED_VALUE"""),"Rinconada de Diguillin")</f>
        <v>Rinconada de Diguillin</v>
      </c>
      <c r="E711" s="19" t="str">
        <f>IFERROR(__xludf.DUMMYFUNCTION("""COMPUTED_VALUE"""),"SITIO RFI")</f>
        <v>SITIO RFI</v>
      </c>
      <c r="F711" s="19" t="str">
        <f>IFERROR(__xludf.DUMMYFUNCTION("""COMPUTED_VALUE"""),"RFI")</f>
        <v>RFI</v>
      </c>
      <c r="G711" s="19" t="str">
        <f>IFERROR(__xludf.DUMMYFUNCTION("""COMPUTED_VALUE"""),"CV60")</f>
        <v>CV60</v>
      </c>
      <c r="H711" s="19" t="str">
        <f>IFERROR(__xludf.DUMMYFUNCTION("""COMPUTED_VALUE"""),"ADM")</f>
        <v>ADM</v>
      </c>
      <c r="I711" s="19" t="str">
        <f>IFERROR(__xludf.DUMMYFUNCTION("""COMPUTED_VALUE"""),"Entregada")</f>
        <v>Entregada</v>
      </c>
      <c r="J711" s="20">
        <f>IFERROR(__xludf.DUMMYFUNCTION("""COMPUTED_VALUE"""),44743.0)</f>
        <v>44743</v>
      </c>
      <c r="K711" s="19" t="str">
        <f>IFERROR(__xludf.DUMMYFUNCTION("""COMPUTED_VALUE"""),"Entregada")</f>
        <v>Entregada</v>
      </c>
      <c r="L711" s="20">
        <f>IFERROR(__xludf.DUMMYFUNCTION("""COMPUTED_VALUE"""),44849.0)</f>
        <v>44849</v>
      </c>
      <c r="M711" s="19" t="str">
        <f>IFERROR(__xludf.DUMMYFUNCTION("""COMPUTED_VALUE"""),"PCM")</f>
        <v>PCM</v>
      </c>
      <c r="N711" s="19" t="str">
        <f>IFERROR(__xludf.DUMMYFUNCTION("""COMPUTED_VALUE"""),"PRIORIDAD 1 Q3 2023 OCTUBRE")</f>
        <v>PRIORIDAD 1 Q3 2023 OCTUBRE</v>
      </c>
    </row>
    <row r="712" ht="15.75" customHeight="1">
      <c r="A712" s="19" t="str">
        <f>IFERROR(__xludf.DUMMYFUNCTION("""COMPUTED_VALUE"""),"AB_9755")</f>
        <v>AB_9755</v>
      </c>
      <c r="B712" s="19" t="str">
        <f>IFERROR(__xludf.DUMMYFUNCTION("""COMPUTED_VALUE"""),"AB_9755_A")</f>
        <v>AB_9755_A</v>
      </c>
      <c r="C712" s="19" t="str">
        <f>IFERROR(__xludf.DUMMYFUNCTION("""COMPUTED_VALUE"""),"NU9755")</f>
        <v>NU9755</v>
      </c>
      <c r="D712" s="19" t="str">
        <f>IFERROR(__xludf.DUMMYFUNCTION("""COMPUTED_VALUE"""),"Curapaso")</f>
        <v>Curapaso</v>
      </c>
      <c r="E712" s="19" t="str">
        <f>IFERROR(__xludf.DUMMYFUNCTION("""COMPUTED_VALUE"""),"SITIO RFI")</f>
        <v>SITIO RFI</v>
      </c>
      <c r="F712" s="19" t="str">
        <f>IFERROR(__xludf.DUMMYFUNCTION("""COMPUTED_VALUE"""),"RFI")</f>
        <v>RFI</v>
      </c>
      <c r="G712" s="19" t="str">
        <f>IFERROR(__xludf.DUMMYFUNCTION("""COMPUTED_VALUE"""),"AS60")</f>
        <v>AS60</v>
      </c>
      <c r="H712" s="19" t="str">
        <f>IFERROR(__xludf.DUMMYFUNCTION("""COMPUTED_VALUE"""),"MER")</f>
        <v>MER</v>
      </c>
      <c r="I712" s="19" t="str">
        <f>IFERROR(__xludf.DUMMYFUNCTION("""COMPUTED_VALUE"""),"Entregada")</f>
        <v>Entregada</v>
      </c>
      <c r="J712" s="20">
        <f>IFERROR(__xludf.DUMMYFUNCTION("""COMPUTED_VALUE"""),44862.0)</f>
        <v>44862</v>
      </c>
      <c r="K712" s="19" t="str">
        <f>IFERROR(__xludf.DUMMYFUNCTION("""COMPUTED_VALUE"""),"Entregada")</f>
        <v>Entregada</v>
      </c>
      <c r="L712" s="20">
        <f>IFERROR(__xludf.DUMMYFUNCTION("""COMPUTED_VALUE"""),44883.0)</f>
        <v>44883</v>
      </c>
      <c r="M712" s="19" t="str">
        <f>IFERROR(__xludf.DUMMYFUNCTION("""COMPUTED_VALUE"""),"LLOO")</f>
        <v>LLOO</v>
      </c>
      <c r="N712" s="19" t="str">
        <f>IFERROR(__xludf.DUMMYFUNCTION("""COMPUTED_VALUE"""),"PRIORIDAD 1 Q3 2023 OCTUBRE")</f>
        <v>PRIORIDAD 1 Q3 2023 OCTUBRE</v>
      </c>
    </row>
    <row r="713" ht="15.75" customHeight="1">
      <c r="A713" s="19" t="str">
        <f>IFERROR(__xludf.DUMMYFUNCTION("""COMPUTED_VALUE"""),"AB_9760")</f>
        <v>AB_9760</v>
      </c>
      <c r="B713" s="19" t="str">
        <f>IFERROR(__xludf.DUMMYFUNCTION("""COMPUTED_VALUE"""),"AB_9760_D")</f>
        <v>AB_9760_D</v>
      </c>
      <c r="C713" s="19" t="str">
        <f>IFERROR(__xludf.DUMMYFUNCTION("""COMPUTED_VALUE"""),"NU9760")</f>
        <v>NU9760</v>
      </c>
      <c r="D713" s="19" t="str">
        <f>IFERROR(__xludf.DUMMYFUNCTION("""COMPUTED_VALUE"""),"Ranchillo Bajo")</f>
        <v>Ranchillo Bajo</v>
      </c>
      <c r="E713" s="19" t="str">
        <f>IFERROR(__xludf.DUMMYFUNCTION("""COMPUTED_VALUE"""),"SITIO RFI")</f>
        <v>SITIO RFI</v>
      </c>
      <c r="F713" s="19" t="str">
        <f>IFERROR(__xludf.DUMMYFUNCTION("""COMPUTED_VALUE"""),"RFI")</f>
        <v>RFI</v>
      </c>
      <c r="G713" s="19" t="str">
        <f>IFERROR(__xludf.DUMMYFUNCTION("""COMPUTED_VALUE"""),"AS60")</f>
        <v>AS60</v>
      </c>
      <c r="H713" s="19" t="str">
        <f>IFERROR(__xludf.DUMMYFUNCTION("""COMPUTED_VALUE"""),"ADM")</f>
        <v>ADM</v>
      </c>
      <c r="I713" s="19" t="str">
        <f>IFERROR(__xludf.DUMMYFUNCTION("""COMPUTED_VALUE"""),"Entregada")</f>
        <v>Entregada</v>
      </c>
      <c r="J713" s="20">
        <f>IFERROR(__xludf.DUMMYFUNCTION("""COMPUTED_VALUE"""),44750.0)</f>
        <v>44750</v>
      </c>
      <c r="K713" s="19" t="str">
        <f>IFERROR(__xludf.DUMMYFUNCTION("""COMPUTED_VALUE"""),"Entregada")</f>
        <v>Entregada</v>
      </c>
      <c r="L713" s="20">
        <f>IFERROR(__xludf.DUMMYFUNCTION("""COMPUTED_VALUE"""),44750.0)</f>
        <v>44750</v>
      </c>
      <c r="M713" s="19" t="str">
        <f>IFERROR(__xludf.DUMMYFUNCTION("""COMPUTED_VALUE"""),"LLOO")</f>
        <v>LLOO</v>
      </c>
      <c r="N713" s="19" t="str">
        <f>IFERROR(__xludf.DUMMYFUNCTION("""COMPUTED_VALUE"""),"PRIORIDAD 1 Q3 2023 OCTUBRE")</f>
        <v>PRIORIDAD 1 Q3 2023 OCTUBRE</v>
      </c>
    </row>
    <row r="714" ht="15.75" customHeight="1">
      <c r="A714" s="19" t="str">
        <f>IFERROR(__xludf.DUMMYFUNCTION("""COMPUTED_VALUE"""),"AB_9763")</f>
        <v>AB_9763</v>
      </c>
      <c r="B714" s="19" t="str">
        <f>IFERROR(__xludf.DUMMYFUNCTION("""COMPUTED_VALUE"""),"AB_9763_C")</f>
        <v>AB_9763_C</v>
      </c>
      <c r="C714" s="19" t="str">
        <f>IFERROR(__xludf.DUMMYFUNCTION("""COMPUTED_VALUE"""),"NU9763")</f>
        <v>NU9763</v>
      </c>
      <c r="D714" s="19" t="str">
        <f>IFERROR(__xludf.DUMMYFUNCTION("""COMPUTED_VALUE"""),"Tiuquelemu")</f>
        <v>Tiuquelemu</v>
      </c>
      <c r="E714" s="19" t="str">
        <f>IFERROR(__xludf.DUMMYFUNCTION("""COMPUTED_VALUE"""),"SITIO RFI")</f>
        <v>SITIO RFI</v>
      </c>
      <c r="F714" s="19" t="str">
        <f>IFERROR(__xludf.DUMMYFUNCTION("""COMPUTED_VALUE"""),"RFI")</f>
        <v>RFI</v>
      </c>
      <c r="G714" s="19" t="str">
        <f>IFERROR(__xludf.DUMMYFUNCTION("""COMPUTED_VALUE"""),"AS42")</f>
        <v>AS42</v>
      </c>
      <c r="H714" s="19" t="str">
        <f>IFERROR(__xludf.DUMMYFUNCTION("""COMPUTED_VALUE"""),"MER")</f>
        <v>MER</v>
      </c>
      <c r="I714" s="19" t="str">
        <f>IFERROR(__xludf.DUMMYFUNCTION("""COMPUTED_VALUE"""),"Entregada")</f>
        <v>Entregada</v>
      </c>
      <c r="J714" s="20">
        <f>IFERROR(__xludf.DUMMYFUNCTION("""COMPUTED_VALUE"""),44862.0)</f>
        <v>44862</v>
      </c>
      <c r="K714" s="19" t="str">
        <f>IFERROR(__xludf.DUMMYFUNCTION("""COMPUTED_VALUE"""),"Entregada")</f>
        <v>Entregada</v>
      </c>
      <c r="L714" s="20">
        <f>IFERROR(__xludf.DUMMYFUNCTION("""COMPUTED_VALUE"""),44883.0)</f>
        <v>44883</v>
      </c>
      <c r="M714" s="19" t="str">
        <f>IFERROR(__xludf.DUMMYFUNCTION("""COMPUTED_VALUE"""),"LLOO")</f>
        <v>LLOO</v>
      </c>
      <c r="N714" s="19" t="str">
        <f>IFERROR(__xludf.DUMMYFUNCTION("""COMPUTED_VALUE"""),"PRIORIDAD 1 Q3 2023 OCTUBRE")</f>
        <v>PRIORIDAD 1 Q3 2023 OCTUBRE</v>
      </c>
    </row>
    <row r="715" ht="15.75" customHeight="1">
      <c r="A715" s="19" t="str">
        <f>IFERROR(__xludf.DUMMYFUNCTION("""COMPUTED_VALUE"""),"AB_9772")</f>
        <v>AB_9772</v>
      </c>
      <c r="B715" s="19" t="str">
        <f>IFERROR(__xludf.DUMMYFUNCTION("""COMPUTED_VALUE"""),"AB_9772_D")</f>
        <v>AB_9772_D</v>
      </c>
      <c r="C715" s="19" t="str">
        <f>IFERROR(__xludf.DUMMYFUNCTION("""COMPUTED_VALUE"""),"NU9772")</f>
        <v>NU9772</v>
      </c>
      <c r="D715" s="19" t="str">
        <f>IFERROR(__xludf.DUMMYFUNCTION("""COMPUTED_VALUE"""),"Camino 3 Marias")</f>
        <v>Camino 3 Marias</v>
      </c>
      <c r="E715" s="19" t="str">
        <f>IFERROR(__xludf.DUMMYFUNCTION("""COMPUTED_VALUE"""),"SITIO RFI")</f>
        <v>SITIO RFI</v>
      </c>
      <c r="F715" s="19" t="str">
        <f>IFERROR(__xludf.DUMMYFUNCTION("""COMPUTED_VALUE"""),"RFI")</f>
        <v>RFI</v>
      </c>
      <c r="G715" s="19" t="str">
        <f>IFERROR(__xludf.DUMMYFUNCTION("""COMPUTED_VALUE"""),"CV60")</f>
        <v>CV60</v>
      </c>
      <c r="H715" s="19" t="str">
        <f>IFERROR(__xludf.DUMMYFUNCTION("""COMPUTED_VALUE"""),"DEPROMET")</f>
        <v>DEPROMET</v>
      </c>
      <c r="I715" s="19" t="str">
        <f>IFERROR(__xludf.DUMMYFUNCTION("""COMPUTED_VALUE"""),"Entregada")</f>
        <v>Entregada</v>
      </c>
      <c r="J715" s="20">
        <f>IFERROR(__xludf.DUMMYFUNCTION("""COMPUTED_VALUE"""),44839.0)</f>
        <v>44839</v>
      </c>
      <c r="K715" s="19" t="str">
        <f>IFERROR(__xludf.DUMMYFUNCTION("""COMPUTED_VALUE"""),"Entregada")</f>
        <v>Entregada</v>
      </c>
      <c r="L715" s="20">
        <f>IFERROR(__xludf.DUMMYFUNCTION("""COMPUTED_VALUE"""),44861.0)</f>
        <v>44861</v>
      </c>
      <c r="M715" s="19" t="str">
        <f>IFERROR(__xludf.DUMMYFUNCTION("""COMPUTED_VALUE"""),"LLOO")</f>
        <v>LLOO</v>
      </c>
      <c r="N715" s="19" t="str">
        <f>IFERROR(__xludf.DUMMYFUNCTION("""COMPUTED_VALUE"""),"PRIORIDAD 1 Q3 2023 OCTUBRE")</f>
        <v>PRIORIDAD 1 Q3 2023 OCTUBRE</v>
      </c>
    </row>
    <row r="716" ht="15.75" customHeight="1">
      <c r="A716" s="19" t="str">
        <f>IFERROR(__xludf.DUMMYFUNCTION("""COMPUTED_VALUE"""),"AB_9778")</f>
        <v>AB_9778</v>
      </c>
      <c r="B716" s="19" t="str">
        <f>IFERROR(__xludf.DUMMYFUNCTION("""COMPUTED_VALUE"""),"AB_9778_A")</f>
        <v>AB_9778_A</v>
      </c>
      <c r="C716" s="19" t="str">
        <f>IFERROR(__xludf.DUMMYFUNCTION("""COMPUTED_VALUE"""),"NU9778")</f>
        <v>NU9778</v>
      </c>
      <c r="D716" s="19" t="str">
        <f>IFERROR(__xludf.DUMMYFUNCTION("""COMPUTED_VALUE"""),"San Vicente Alto")</f>
        <v>San Vicente Alto</v>
      </c>
      <c r="E716" s="19" t="str">
        <f>IFERROR(__xludf.DUMMYFUNCTION("""COMPUTED_VALUE"""),"SITIO RFI")</f>
        <v>SITIO RFI</v>
      </c>
      <c r="F716" s="19" t="str">
        <f>IFERROR(__xludf.DUMMYFUNCTION("""COMPUTED_VALUE"""),"RFI")</f>
        <v>RFI</v>
      </c>
      <c r="G716" s="19" t="str">
        <f>IFERROR(__xludf.DUMMYFUNCTION("""COMPUTED_VALUE"""),"CV48")</f>
        <v>CV48</v>
      </c>
      <c r="H716" s="19" t="str">
        <f>IFERROR(__xludf.DUMMYFUNCTION("""COMPUTED_VALUE"""),"JTI")</f>
        <v>JTI</v>
      </c>
      <c r="I716" s="19" t="str">
        <f>IFERROR(__xludf.DUMMYFUNCTION("""COMPUTED_VALUE"""),"Entregada")</f>
        <v>Entregada</v>
      </c>
      <c r="J716" s="20">
        <f>IFERROR(__xludf.DUMMYFUNCTION("""COMPUTED_VALUE"""),44876.0)</f>
        <v>44876</v>
      </c>
      <c r="K716" s="19" t="str">
        <f>IFERROR(__xludf.DUMMYFUNCTION("""COMPUTED_VALUE"""),"Entregada")</f>
        <v>Entregada</v>
      </c>
      <c r="L716" s="20">
        <f>IFERROR(__xludf.DUMMYFUNCTION("""COMPUTED_VALUE"""),44902.0)</f>
        <v>44902</v>
      </c>
      <c r="M716" s="19" t="str">
        <f>IFERROR(__xludf.DUMMYFUNCTION("""COMPUTED_VALUE"""),"LLOO")</f>
        <v>LLOO</v>
      </c>
      <c r="N716" s="19" t="str">
        <f>IFERROR(__xludf.DUMMYFUNCTION("""COMPUTED_VALUE"""),"PRIORIDAD 1 Q3 2023 OCTUBRE")</f>
        <v>PRIORIDAD 1 Q3 2023 OCTUBRE</v>
      </c>
    </row>
    <row r="717" ht="15.75" customHeight="1">
      <c r="A717" s="19" t="str">
        <f>IFERROR(__xludf.DUMMYFUNCTION("""COMPUTED_VALUE"""),"AB_9846")</f>
        <v>AB_9846</v>
      </c>
      <c r="B717" s="19" t="str">
        <f>IFERROR(__xludf.DUMMYFUNCTION("""COMPUTED_VALUE"""),"AB_9846_A")</f>
        <v>AB_9846_A</v>
      </c>
      <c r="C717" s="19" t="str">
        <f>IFERROR(__xludf.DUMMYFUNCTION("""COMPUTED_VALUE"""),"NU9846")</f>
        <v>NU9846</v>
      </c>
      <c r="D717" s="19" t="str">
        <f>IFERROR(__xludf.DUMMYFUNCTION("""COMPUTED_VALUE"""),"Copiulemu Ruta N-110")</f>
        <v>Copiulemu Ruta N-110</v>
      </c>
      <c r="E717" s="19" t="str">
        <f>IFERROR(__xludf.DUMMYFUNCTION("""COMPUTED_VALUE"""),"SITIO RFI")</f>
        <v>SITIO RFI</v>
      </c>
      <c r="F717" s="19" t="str">
        <f>IFERROR(__xludf.DUMMYFUNCTION("""COMPUTED_VALUE"""),"RFI")</f>
        <v>RFI</v>
      </c>
      <c r="G717" s="19" t="str">
        <f>IFERROR(__xludf.DUMMYFUNCTION("""COMPUTED_VALUE"""),"CV60")</f>
        <v>CV60</v>
      </c>
      <c r="H717" s="19" t="str">
        <f>IFERROR(__xludf.DUMMYFUNCTION("""COMPUTED_VALUE"""),"ADM")</f>
        <v>ADM</v>
      </c>
      <c r="I717" s="19" t="str">
        <f>IFERROR(__xludf.DUMMYFUNCTION("""COMPUTED_VALUE"""),"Entregada")</f>
        <v>Entregada</v>
      </c>
      <c r="J717" s="20">
        <f>IFERROR(__xludf.DUMMYFUNCTION("""COMPUTED_VALUE"""),44881.0)</f>
        <v>44881</v>
      </c>
      <c r="K717" s="19" t="str">
        <f>IFERROR(__xludf.DUMMYFUNCTION("""COMPUTED_VALUE"""),"Entregada")</f>
        <v>Entregada</v>
      </c>
      <c r="L717" s="20">
        <f>IFERROR(__xludf.DUMMYFUNCTION("""COMPUTED_VALUE"""),44883.0)</f>
        <v>44883</v>
      </c>
      <c r="M717" s="19" t="str">
        <f>IFERROR(__xludf.DUMMYFUNCTION("""COMPUTED_VALUE"""),"LLOO")</f>
        <v>LLOO</v>
      </c>
      <c r="N717" s="19" t="str">
        <f>IFERROR(__xludf.DUMMYFUNCTION("""COMPUTED_VALUE"""),"PRIORIDAD 1 Q3 2023 OCTUBRE")</f>
        <v>PRIORIDAD 1 Q3 2023 OCTUBRE</v>
      </c>
    </row>
    <row r="718" ht="15.75" customHeight="1">
      <c r="A718" s="19" t="str">
        <f>IFERROR(__xludf.DUMMYFUNCTION("""COMPUTED_VALUE"""),"AB_10139")</f>
        <v>AB_10139</v>
      </c>
      <c r="B718" s="19" t="str">
        <f>IFERROR(__xludf.DUMMYFUNCTION("""COMPUTED_VALUE"""),"AB_10139_C")</f>
        <v>AB_10139_C</v>
      </c>
      <c r="C718" s="19" t="str">
        <f>IFERROR(__xludf.DUMMYFUNCTION("""COMPUTED_VALUE"""),"OH10139")</f>
        <v>OH10139</v>
      </c>
      <c r="D718" s="19" t="str">
        <f>IFERROR(__xludf.DUMMYFUNCTION("""COMPUTED_VALUE"""),"San Joaquin de los Mayos")</f>
        <v>San Joaquin de los Mayos</v>
      </c>
      <c r="E718" s="19" t="str">
        <f>IFERROR(__xludf.DUMMYFUNCTION("""COMPUTED_VALUE"""),"SITIO RFI")</f>
        <v>SITIO RFI</v>
      </c>
      <c r="F718" s="19" t="str">
        <f>IFERROR(__xludf.DUMMYFUNCTION("""COMPUTED_VALUE"""),"RFI")</f>
        <v>RFI</v>
      </c>
      <c r="G718" s="19" t="str">
        <f>IFERROR(__xludf.DUMMYFUNCTION("""COMPUTED_VALUE"""),"AS30")</f>
        <v>AS30</v>
      </c>
      <c r="H718" s="19" t="str">
        <f>IFERROR(__xludf.DUMMYFUNCTION("""COMPUTED_VALUE"""),"METALING")</f>
        <v>METALING</v>
      </c>
      <c r="I718" s="19" t="str">
        <f>IFERROR(__xludf.DUMMYFUNCTION("""COMPUTED_VALUE"""),"Entregada")</f>
        <v>Entregada</v>
      </c>
      <c r="J718" s="20">
        <f>IFERROR(__xludf.DUMMYFUNCTION("""COMPUTED_VALUE"""),44747.0)</f>
        <v>44747</v>
      </c>
      <c r="K718" s="19" t="str">
        <f>IFERROR(__xludf.DUMMYFUNCTION("""COMPUTED_VALUE"""),"Entregada")</f>
        <v>Entregada</v>
      </c>
      <c r="L718" s="20">
        <f>IFERROR(__xludf.DUMMYFUNCTION("""COMPUTED_VALUE"""),44778.0)</f>
        <v>44778</v>
      </c>
      <c r="M718" s="19" t="str">
        <f>IFERROR(__xludf.DUMMYFUNCTION("""COMPUTED_VALUE"""),"PCM")</f>
        <v>PCM</v>
      </c>
      <c r="N718" s="19" t="str">
        <f>IFERROR(__xludf.DUMMYFUNCTION("""COMPUTED_VALUE"""),"PRIORIDAD 1 Q3 2023 OCTUBRE")</f>
        <v>PRIORIDAD 1 Q3 2023 OCTUBRE</v>
      </c>
    </row>
    <row r="719" ht="15.75" customHeight="1">
      <c r="A719" s="19" t="str">
        <f>IFERROR(__xludf.DUMMYFUNCTION("""COMPUTED_VALUE"""),"AB_10174")</f>
        <v>AB_10174</v>
      </c>
      <c r="B719" s="19" t="str">
        <f>IFERROR(__xludf.DUMMYFUNCTION("""COMPUTED_VALUE"""),"AB_10174_B")</f>
        <v>AB_10174_B</v>
      </c>
      <c r="C719" s="19" t="str">
        <f>IFERROR(__xludf.DUMMYFUNCTION("""COMPUTED_VALUE"""),"OH10174")</f>
        <v>OH10174</v>
      </c>
      <c r="D719" s="19" t="str">
        <f>IFERROR(__xludf.DUMMYFUNCTION("""COMPUTED_VALUE"""),"Codegua Secadores")</f>
        <v>Codegua Secadores</v>
      </c>
      <c r="E719" s="19" t="str">
        <f>IFERROR(__xludf.DUMMYFUNCTION("""COMPUTED_VALUE"""),"SITIO RFI")</f>
        <v>SITIO RFI</v>
      </c>
      <c r="F719" s="19" t="str">
        <f>IFERROR(__xludf.DUMMYFUNCTION("""COMPUTED_VALUE"""),"RFI")</f>
        <v>RFI</v>
      </c>
      <c r="G719" s="19" t="str">
        <f>IFERROR(__xludf.DUMMYFUNCTION("""COMPUTED_VALUE"""),"AS54")</f>
        <v>AS54</v>
      </c>
      <c r="H719" s="19" t="str">
        <f>IFERROR(__xludf.DUMMYFUNCTION("""COMPUTED_VALUE"""),"AJ")</f>
        <v>AJ</v>
      </c>
      <c r="I719" s="19" t="str">
        <f>IFERROR(__xludf.DUMMYFUNCTION("""COMPUTED_VALUE"""),"Entregada")</f>
        <v>Entregada</v>
      </c>
      <c r="J719" s="20">
        <f>IFERROR(__xludf.DUMMYFUNCTION("""COMPUTED_VALUE"""),44697.0)</f>
        <v>44697</v>
      </c>
      <c r="K719" s="19" t="str">
        <f>IFERROR(__xludf.DUMMYFUNCTION("""COMPUTED_VALUE"""),"Entregada")</f>
        <v>Entregada</v>
      </c>
      <c r="L719" s="20">
        <f>IFERROR(__xludf.DUMMYFUNCTION("""COMPUTED_VALUE"""),44757.0)</f>
        <v>44757</v>
      </c>
      <c r="M719" s="19" t="str">
        <f>IFERROR(__xludf.DUMMYFUNCTION("""COMPUTED_VALUE"""),"PCM")</f>
        <v>PCM</v>
      </c>
      <c r="N719" s="19" t="str">
        <f>IFERROR(__xludf.DUMMYFUNCTION("""COMPUTED_VALUE"""),"PRIORIDAD 1 Q3 2023 OCTUBRE")</f>
        <v>PRIORIDAD 1 Q3 2023 OCTUBRE</v>
      </c>
    </row>
    <row r="720" ht="15.75" customHeight="1">
      <c r="A720" s="19" t="str">
        <f>IFERROR(__xludf.DUMMYFUNCTION("""COMPUTED_VALUE"""),"AB_10175")</f>
        <v>AB_10175</v>
      </c>
      <c r="B720" s="19" t="str">
        <f>IFERROR(__xludf.DUMMYFUNCTION("""COMPUTED_VALUE"""),"AB_10175_C")</f>
        <v>AB_10175_C</v>
      </c>
      <c r="C720" s="19" t="str">
        <f>IFERROR(__xludf.DUMMYFUNCTION("""COMPUTED_VALUE"""),"OH10175")</f>
        <v>OH10175</v>
      </c>
      <c r="D720" s="19" t="str">
        <f>IFERROR(__xludf.DUMMYFUNCTION("""COMPUTED_VALUE"""),"Olivar Villa Maria")</f>
        <v>Olivar Villa Maria</v>
      </c>
      <c r="E720" s="19" t="str">
        <f>IFERROR(__xludf.DUMMYFUNCTION("""COMPUTED_VALUE"""),"SITIO RFI")</f>
        <v>SITIO RFI</v>
      </c>
      <c r="F720" s="19" t="str">
        <f>IFERROR(__xludf.DUMMYFUNCTION("""COMPUTED_VALUE"""),"RFI")</f>
        <v>RFI</v>
      </c>
      <c r="G720" s="19" t="str">
        <f>IFERROR(__xludf.DUMMYFUNCTION("""COMPUTED_VALUE"""),"AS42")</f>
        <v>AS42</v>
      </c>
      <c r="H720" s="19" t="str">
        <f>IFERROR(__xludf.DUMMYFUNCTION("""COMPUTED_VALUE"""),"AJ")</f>
        <v>AJ</v>
      </c>
      <c r="I720" s="19" t="str">
        <f>IFERROR(__xludf.DUMMYFUNCTION("""COMPUTED_VALUE"""),"Entregada")</f>
        <v>Entregada</v>
      </c>
      <c r="J720" s="20">
        <f>IFERROR(__xludf.DUMMYFUNCTION("""COMPUTED_VALUE"""),44627.0)</f>
        <v>44627</v>
      </c>
      <c r="K720" s="19" t="str">
        <f>IFERROR(__xludf.DUMMYFUNCTION("""COMPUTED_VALUE"""),"Entregada")</f>
        <v>Entregada</v>
      </c>
      <c r="L720" s="20">
        <f>IFERROR(__xludf.DUMMYFUNCTION("""COMPUTED_VALUE"""),44673.0)</f>
        <v>44673</v>
      </c>
      <c r="M720" s="19" t="str">
        <f>IFERROR(__xludf.DUMMYFUNCTION("""COMPUTED_VALUE"""),"PCM")</f>
        <v>PCM</v>
      </c>
      <c r="N720" s="19" t="str">
        <f>IFERROR(__xludf.DUMMYFUNCTION("""COMPUTED_VALUE"""),"PRIORIDAD 1 Q3 2023 OCTUBRE")</f>
        <v>PRIORIDAD 1 Q3 2023 OCTUBRE</v>
      </c>
    </row>
    <row r="721" ht="15.75" customHeight="1">
      <c r="A721" s="19" t="str">
        <f>IFERROR(__xludf.DUMMYFUNCTION("""COMPUTED_VALUE"""),"AB_10190")</f>
        <v>AB_10190</v>
      </c>
      <c r="B721" s="19" t="str">
        <f>IFERROR(__xludf.DUMMYFUNCTION("""COMPUTED_VALUE"""),"AB_10190_B")</f>
        <v>AB_10190_B</v>
      </c>
      <c r="C721" s="19" t="str">
        <f>IFERROR(__xludf.DUMMYFUNCTION("""COMPUTED_VALUE"""),"OH10190")</f>
        <v>OH10190</v>
      </c>
      <c r="D721" s="19" t="str">
        <f>IFERROR(__xludf.DUMMYFUNCTION("""COMPUTED_VALUE"""),"Nerquihue Lolol")</f>
        <v>Nerquihue Lolol</v>
      </c>
      <c r="E721" s="19" t="str">
        <f>IFERROR(__xludf.DUMMYFUNCTION("""COMPUTED_VALUE"""),"SITIO RFI")</f>
        <v>SITIO RFI</v>
      </c>
      <c r="F721" s="19" t="str">
        <f>IFERROR(__xludf.DUMMYFUNCTION("""COMPUTED_VALUE"""),"RFI")</f>
        <v>RFI</v>
      </c>
      <c r="G721" s="19" t="str">
        <f>IFERROR(__xludf.DUMMYFUNCTION("""COMPUTED_VALUE"""),"AS60")</f>
        <v>AS60</v>
      </c>
      <c r="H721" s="19" t="str">
        <f>IFERROR(__xludf.DUMMYFUNCTION("""COMPUTED_VALUE"""),"MER")</f>
        <v>MER</v>
      </c>
      <c r="I721" s="19" t="str">
        <f>IFERROR(__xludf.DUMMYFUNCTION("""COMPUTED_VALUE"""),"Entregada")</f>
        <v>Entregada</v>
      </c>
      <c r="J721" s="20">
        <f>IFERROR(__xludf.DUMMYFUNCTION("""COMPUTED_VALUE"""),44697.0)</f>
        <v>44697</v>
      </c>
      <c r="K721" s="19" t="str">
        <f>IFERROR(__xludf.DUMMYFUNCTION("""COMPUTED_VALUE"""),"Entregada")</f>
        <v>Entregada</v>
      </c>
      <c r="L721" s="20">
        <f>IFERROR(__xludf.DUMMYFUNCTION("""COMPUTED_VALUE"""),44722.0)</f>
        <v>44722</v>
      </c>
      <c r="M721" s="19" t="str">
        <f>IFERROR(__xludf.DUMMYFUNCTION("""COMPUTED_VALUE"""),"PCM")</f>
        <v>PCM</v>
      </c>
      <c r="N721" s="19" t="str">
        <f>IFERROR(__xludf.DUMMYFUNCTION("""COMPUTED_VALUE"""),"PRIORIDAD 1 Q3 2023 OCTUBRE")</f>
        <v>PRIORIDAD 1 Q3 2023 OCTUBRE</v>
      </c>
    </row>
    <row r="722" ht="15.75" customHeight="1">
      <c r="A722" s="19" t="str">
        <f>IFERROR(__xludf.DUMMYFUNCTION("""COMPUTED_VALUE"""),"AB_10193")</f>
        <v>AB_10193</v>
      </c>
      <c r="B722" s="19" t="str">
        <f>IFERROR(__xludf.DUMMYFUNCTION("""COMPUTED_VALUE"""),"AB_10193_C")</f>
        <v>AB_10193_C</v>
      </c>
      <c r="C722" s="19" t="str">
        <f>IFERROR(__xludf.DUMMYFUNCTION("""COMPUTED_VALUE"""),"OH10193")</f>
        <v>OH10193</v>
      </c>
      <c r="D722" s="19" t="str">
        <f>IFERROR(__xludf.DUMMYFUNCTION("""COMPUTED_VALUE"""),"Viña La Rosa")</f>
        <v>Viña La Rosa</v>
      </c>
      <c r="E722" s="19" t="str">
        <f>IFERROR(__xludf.DUMMYFUNCTION("""COMPUTED_VALUE"""),"SITIO RFI")</f>
        <v>SITIO RFI</v>
      </c>
      <c r="F722" s="19" t="str">
        <f>IFERROR(__xludf.DUMMYFUNCTION("""COMPUTED_VALUE"""),"RFI")</f>
        <v>RFI</v>
      </c>
      <c r="G722" s="19" t="str">
        <f>IFERROR(__xludf.DUMMYFUNCTION("""COMPUTED_VALUE"""),"AS60")</f>
        <v>AS60</v>
      </c>
      <c r="H722" s="19" t="str">
        <f>IFERROR(__xludf.DUMMYFUNCTION("""COMPUTED_VALUE"""),"ADM")</f>
        <v>ADM</v>
      </c>
      <c r="I722" s="19" t="str">
        <f>IFERROR(__xludf.DUMMYFUNCTION("""COMPUTED_VALUE"""),"Entregada")</f>
        <v>Entregada</v>
      </c>
      <c r="J722" s="20">
        <f>IFERROR(__xludf.DUMMYFUNCTION("""COMPUTED_VALUE"""),44750.0)</f>
        <v>44750</v>
      </c>
      <c r="K722" s="19" t="str">
        <f>IFERROR(__xludf.DUMMYFUNCTION("""COMPUTED_VALUE"""),"Entregada")</f>
        <v>Entregada</v>
      </c>
      <c r="L722" s="20">
        <f>IFERROR(__xludf.DUMMYFUNCTION("""COMPUTED_VALUE"""),44750.0)</f>
        <v>44750</v>
      </c>
      <c r="M722" s="19" t="str">
        <f>IFERROR(__xludf.DUMMYFUNCTION("""COMPUTED_VALUE"""),"PCM")</f>
        <v>PCM</v>
      </c>
      <c r="N722" s="19" t="str">
        <f>IFERROR(__xludf.DUMMYFUNCTION("""COMPUTED_VALUE"""),"PRIORIDAD 1 Q3 2023 OCTUBRE")</f>
        <v>PRIORIDAD 1 Q3 2023 OCTUBRE</v>
      </c>
    </row>
    <row r="723" ht="15.75" customHeight="1">
      <c r="A723" s="19" t="str">
        <f>IFERROR(__xludf.DUMMYFUNCTION("""COMPUTED_VALUE"""),"AB_10194")</f>
        <v>AB_10194</v>
      </c>
      <c r="B723" s="19" t="str">
        <f>IFERROR(__xludf.DUMMYFUNCTION("""COMPUTED_VALUE"""),"AB_10194_A")</f>
        <v>AB_10194_A</v>
      </c>
      <c r="C723" s="19" t="str">
        <f>IFERROR(__xludf.DUMMYFUNCTION("""COMPUTED_VALUE"""),"OH10194")</f>
        <v>OH10194</v>
      </c>
      <c r="D723" s="19" t="str">
        <f>IFERROR(__xludf.DUMMYFUNCTION("""COMPUTED_VALUE"""),"Coinco Norte")</f>
        <v>Coinco Norte</v>
      </c>
      <c r="E723" s="19" t="str">
        <f>IFERROR(__xludf.DUMMYFUNCTION("""COMPUTED_VALUE"""),"SITIO RFI")</f>
        <v>SITIO RFI</v>
      </c>
      <c r="F723" s="19" t="str">
        <f>IFERROR(__xludf.DUMMYFUNCTION("""COMPUTED_VALUE"""),"RFI")</f>
        <v>RFI</v>
      </c>
      <c r="G723" s="19" t="str">
        <f>IFERROR(__xludf.DUMMYFUNCTION("""COMPUTED_VALUE"""),"MP36")</f>
        <v>MP36</v>
      </c>
      <c r="H723" s="19" t="str">
        <f>IFERROR(__xludf.DUMMYFUNCTION("""COMPUTED_VALUE"""),"MER")</f>
        <v>MER</v>
      </c>
      <c r="I723" s="19" t="str">
        <f>IFERROR(__xludf.DUMMYFUNCTION("""COMPUTED_VALUE"""),"Entregada")</f>
        <v>Entregada</v>
      </c>
      <c r="J723" s="20">
        <f>IFERROR(__xludf.DUMMYFUNCTION("""COMPUTED_VALUE"""),44697.0)</f>
        <v>44697</v>
      </c>
      <c r="K723" s="19" t="str">
        <f>IFERROR(__xludf.DUMMYFUNCTION("""COMPUTED_VALUE"""),"Entregada")</f>
        <v>Entregada</v>
      </c>
      <c r="L723" s="20">
        <f>IFERROR(__xludf.DUMMYFUNCTION("""COMPUTED_VALUE"""),44736.0)</f>
        <v>44736</v>
      </c>
      <c r="M723" s="19" t="str">
        <f>IFERROR(__xludf.DUMMYFUNCTION("""COMPUTED_VALUE"""),"PCM")</f>
        <v>PCM</v>
      </c>
      <c r="N723" s="19" t="str">
        <f>IFERROR(__xludf.DUMMYFUNCTION("""COMPUTED_VALUE"""),"PRIORIDAD 1 Q3 2023 OCTUBRE")</f>
        <v>PRIORIDAD 1 Q3 2023 OCTUBRE</v>
      </c>
    </row>
    <row r="724" ht="15.75" customHeight="1">
      <c r="A724" s="19" t="str">
        <f>IFERROR(__xludf.DUMMYFUNCTION("""COMPUTED_VALUE"""),"AB_10198")</f>
        <v>AB_10198</v>
      </c>
      <c r="B724" s="19" t="str">
        <f>IFERROR(__xludf.DUMMYFUNCTION("""COMPUTED_VALUE"""),"AB_10198_F")</f>
        <v>AB_10198_F</v>
      </c>
      <c r="C724" s="19" t="str">
        <f>IFERROR(__xludf.DUMMYFUNCTION("""COMPUTED_VALUE"""),"OH10198")</f>
        <v>OH10198</v>
      </c>
      <c r="D724" s="19" t="str">
        <f>IFERROR(__xludf.DUMMYFUNCTION("""COMPUTED_VALUE"""),"Vista Hermosa Coltauco")</f>
        <v>Vista Hermosa Coltauco</v>
      </c>
      <c r="E724" s="19" t="str">
        <f>IFERROR(__xludf.DUMMYFUNCTION("""COMPUTED_VALUE"""),"SITIO RFI")</f>
        <v>SITIO RFI</v>
      </c>
      <c r="F724" s="19" t="str">
        <f>IFERROR(__xludf.DUMMYFUNCTION("""COMPUTED_VALUE"""),"RFI")</f>
        <v>RFI</v>
      </c>
      <c r="G724" s="19" t="str">
        <f>IFERROR(__xludf.DUMMYFUNCTION("""COMPUTED_VALUE"""),"MP24")</f>
        <v>MP24</v>
      </c>
      <c r="H724" s="19" t="str">
        <f>IFERROR(__xludf.DUMMYFUNCTION("""COMPUTED_VALUE"""),"MER")</f>
        <v>MER</v>
      </c>
      <c r="I724" s="19" t="str">
        <f>IFERROR(__xludf.DUMMYFUNCTION("""COMPUTED_VALUE"""),"Entregada")</f>
        <v>Entregada</v>
      </c>
      <c r="J724" s="20">
        <f>IFERROR(__xludf.DUMMYFUNCTION("""COMPUTED_VALUE"""),44697.0)</f>
        <v>44697</v>
      </c>
      <c r="K724" s="19" t="str">
        <f>IFERROR(__xludf.DUMMYFUNCTION("""COMPUTED_VALUE"""),"Entregada")</f>
        <v>Entregada</v>
      </c>
      <c r="L724" s="20">
        <f>IFERROR(__xludf.DUMMYFUNCTION("""COMPUTED_VALUE"""),44714.0)</f>
        <v>44714</v>
      </c>
      <c r="M724" s="19" t="str">
        <f>IFERROR(__xludf.DUMMYFUNCTION("""COMPUTED_VALUE"""),"PCM")</f>
        <v>PCM</v>
      </c>
      <c r="N724" s="19" t="str">
        <f>IFERROR(__xludf.DUMMYFUNCTION("""COMPUTED_VALUE"""),"PRIORIDAD 1 Q3 2023 OCTUBRE")</f>
        <v>PRIORIDAD 1 Q3 2023 OCTUBRE</v>
      </c>
    </row>
    <row r="725" ht="15.75" customHeight="1">
      <c r="A725" s="19" t="str">
        <f>IFERROR(__xludf.DUMMYFUNCTION("""COMPUTED_VALUE"""),"AB_10199")</f>
        <v>AB_10199</v>
      </c>
      <c r="B725" s="19" t="str">
        <f>IFERROR(__xludf.DUMMYFUNCTION("""COMPUTED_VALUE"""),"AB_10199_A")</f>
        <v>AB_10199_A</v>
      </c>
      <c r="C725" s="19" t="str">
        <f>IFERROR(__xludf.DUMMYFUNCTION("""COMPUTED_VALUE"""),"OH10199")</f>
        <v>OH10199</v>
      </c>
      <c r="D725" s="19" t="str">
        <f>IFERROR(__xludf.DUMMYFUNCTION("""COMPUTED_VALUE"""),"San Isidro Graneros")</f>
        <v>San Isidro Graneros</v>
      </c>
      <c r="E725" s="19" t="str">
        <f>IFERROR(__xludf.DUMMYFUNCTION("""COMPUTED_VALUE"""),"SITIO RFI")</f>
        <v>SITIO RFI</v>
      </c>
      <c r="F725" s="19" t="str">
        <f>IFERROR(__xludf.DUMMYFUNCTION("""COMPUTED_VALUE"""),"RFI")</f>
        <v>RFI</v>
      </c>
      <c r="G725" s="19" t="str">
        <f>IFERROR(__xludf.DUMMYFUNCTION("""COMPUTED_VALUE"""),"CV30")</f>
        <v>CV30</v>
      </c>
      <c r="H725" s="19" t="str">
        <f>IFERROR(__xludf.DUMMYFUNCTION("""COMPUTED_VALUE"""),"SYC")</f>
        <v>SYC</v>
      </c>
      <c r="I725" s="19" t="str">
        <f>IFERROR(__xludf.DUMMYFUNCTION("""COMPUTED_VALUE"""),"Entregada")</f>
        <v>Entregada</v>
      </c>
      <c r="J725" s="20">
        <f>IFERROR(__xludf.DUMMYFUNCTION("""COMPUTED_VALUE"""),44687.0)</f>
        <v>44687</v>
      </c>
      <c r="K725" s="19" t="str">
        <f>IFERROR(__xludf.DUMMYFUNCTION("""COMPUTED_VALUE"""),"Entregada")</f>
        <v>Entregada</v>
      </c>
      <c r="L725" s="20">
        <f>IFERROR(__xludf.DUMMYFUNCTION("""COMPUTED_VALUE"""),44764.0)</f>
        <v>44764</v>
      </c>
      <c r="M725" s="19" t="str">
        <f>IFERROR(__xludf.DUMMYFUNCTION("""COMPUTED_VALUE"""),"PCM")</f>
        <v>PCM</v>
      </c>
      <c r="N725" s="19" t="str">
        <f>IFERROR(__xludf.DUMMYFUNCTION("""COMPUTED_VALUE"""),"PRIORIDAD 1 Q3 2023 OCTUBRE")</f>
        <v>PRIORIDAD 1 Q3 2023 OCTUBRE</v>
      </c>
    </row>
    <row r="726" ht="15.75" customHeight="1">
      <c r="A726" s="19" t="str">
        <f>IFERROR(__xludf.DUMMYFUNCTION("""COMPUTED_VALUE"""),"AB_10200")</f>
        <v>AB_10200</v>
      </c>
      <c r="B726" s="19" t="str">
        <f>IFERROR(__xludf.DUMMYFUNCTION("""COMPUTED_VALUE"""),"AB_10200_B")</f>
        <v>AB_10200_B</v>
      </c>
      <c r="C726" s="19" t="str">
        <f>IFERROR(__xludf.DUMMYFUNCTION("""COMPUTED_VALUE"""),"OH10200")</f>
        <v>OH10200</v>
      </c>
      <c r="D726" s="19" t="str">
        <f>IFERROR(__xludf.DUMMYFUNCTION("""COMPUTED_VALUE"""),"Corrales Piedra Olivar")</f>
        <v>Corrales Piedra Olivar</v>
      </c>
      <c r="E726" s="19" t="str">
        <f>IFERROR(__xludf.DUMMYFUNCTION("""COMPUTED_VALUE"""),"SITIO RFI")</f>
        <v>SITIO RFI</v>
      </c>
      <c r="F726" s="19" t="str">
        <f>IFERROR(__xludf.DUMMYFUNCTION("""COMPUTED_VALUE"""),"RFI")</f>
        <v>RFI</v>
      </c>
      <c r="G726" s="19" t="str">
        <f>IFERROR(__xludf.DUMMYFUNCTION("""COMPUTED_VALUE"""),"MP36")</f>
        <v>MP36</v>
      </c>
      <c r="H726" s="19" t="str">
        <f>IFERROR(__xludf.DUMMYFUNCTION("""COMPUTED_VALUE"""),"MER")</f>
        <v>MER</v>
      </c>
      <c r="I726" s="19" t="str">
        <f>IFERROR(__xludf.DUMMYFUNCTION("""COMPUTED_VALUE"""),"Entregada")</f>
        <v>Entregada</v>
      </c>
      <c r="J726" s="20">
        <f>IFERROR(__xludf.DUMMYFUNCTION("""COMPUTED_VALUE"""),44697.0)</f>
        <v>44697</v>
      </c>
      <c r="K726" s="19" t="str">
        <f>IFERROR(__xludf.DUMMYFUNCTION("""COMPUTED_VALUE"""),"Entregada")</f>
        <v>Entregada</v>
      </c>
      <c r="L726" s="20">
        <f>IFERROR(__xludf.DUMMYFUNCTION("""COMPUTED_VALUE"""),44729.0)</f>
        <v>44729</v>
      </c>
      <c r="M726" s="19" t="str">
        <f>IFERROR(__xludf.DUMMYFUNCTION("""COMPUTED_VALUE"""),"PCM")</f>
        <v>PCM</v>
      </c>
      <c r="N726" s="19" t="str">
        <f>IFERROR(__xludf.DUMMYFUNCTION("""COMPUTED_VALUE"""),"PRIORIDAD 1 Q3 2023 OCTUBRE")</f>
        <v>PRIORIDAD 1 Q3 2023 OCTUBRE</v>
      </c>
    </row>
    <row r="727" ht="15.75" customHeight="1">
      <c r="A727" s="19" t="str">
        <f>IFERROR(__xludf.DUMMYFUNCTION("""COMPUTED_VALUE"""),"AB_10201")</f>
        <v>AB_10201</v>
      </c>
      <c r="B727" s="19" t="str">
        <f>IFERROR(__xludf.DUMMYFUNCTION("""COMPUTED_VALUE"""),"AB_10201_A")</f>
        <v>AB_10201_A</v>
      </c>
      <c r="C727" s="19" t="str">
        <f>IFERROR(__xludf.DUMMYFUNCTION("""COMPUTED_VALUE"""),"OH10201")</f>
        <v>OH10201</v>
      </c>
      <c r="D727" s="19" t="str">
        <f>IFERROR(__xludf.DUMMYFUNCTION("""COMPUTED_VALUE"""),"Pichilemu Salida Sur")</f>
        <v>Pichilemu Salida Sur</v>
      </c>
      <c r="E727" s="19" t="str">
        <f>IFERROR(__xludf.DUMMYFUNCTION("""COMPUTED_VALUE"""),"SITIO RFI")</f>
        <v>SITIO RFI</v>
      </c>
      <c r="F727" s="19" t="str">
        <f>IFERROR(__xludf.DUMMYFUNCTION("""COMPUTED_VALUE"""),"RFI")</f>
        <v>RFI</v>
      </c>
      <c r="G727" s="19" t="str">
        <f>IFERROR(__xludf.DUMMYFUNCTION("""COMPUTED_VALUE"""),"MP R40")</f>
        <v>MP R40</v>
      </c>
      <c r="H727" s="19" t="str">
        <f>IFERROR(__xludf.DUMMYFUNCTION("""COMPUTED_VALUE"""),"MER")</f>
        <v>MER</v>
      </c>
      <c r="I727" s="19" t="str">
        <f>IFERROR(__xludf.DUMMYFUNCTION("""COMPUTED_VALUE"""),"Entregada")</f>
        <v>Entregada</v>
      </c>
      <c r="J727" s="20">
        <f>IFERROR(__xludf.DUMMYFUNCTION("""COMPUTED_VALUE"""),44708.0)</f>
        <v>44708</v>
      </c>
      <c r="K727" s="19" t="str">
        <f>IFERROR(__xludf.DUMMYFUNCTION("""COMPUTED_VALUE"""),"Entregada")</f>
        <v>Entregada</v>
      </c>
      <c r="L727" s="20">
        <f>IFERROR(__xludf.DUMMYFUNCTION("""COMPUTED_VALUE"""),44729.0)</f>
        <v>44729</v>
      </c>
      <c r="M727" s="19" t="str">
        <f>IFERROR(__xludf.DUMMYFUNCTION("""COMPUTED_VALUE"""),"PCM_2")</f>
        <v>PCM_2</v>
      </c>
      <c r="N727" s="19" t="str">
        <f>IFERROR(__xludf.DUMMYFUNCTION("""COMPUTED_VALUE"""),"PRIORIDAD 1 Q3 2023 OCTUBRE")</f>
        <v>PRIORIDAD 1 Q3 2023 OCTUBRE</v>
      </c>
    </row>
    <row r="728" ht="15.75" customHeight="1">
      <c r="A728" s="19" t="str">
        <f>IFERROR(__xludf.DUMMYFUNCTION("""COMPUTED_VALUE"""),"AB_10202")</f>
        <v>AB_10202</v>
      </c>
      <c r="B728" s="19" t="str">
        <f>IFERROR(__xludf.DUMMYFUNCTION("""COMPUTED_VALUE"""),"AB_10202_F")</f>
        <v>AB_10202_F</v>
      </c>
      <c r="C728" s="19" t="str">
        <f>IFERROR(__xludf.DUMMYFUNCTION("""COMPUTED_VALUE"""),"OH10202")</f>
        <v>OH10202</v>
      </c>
      <c r="D728" s="19" t="str">
        <f>IFERROR(__xludf.DUMMYFUNCTION("""COMPUTED_VALUE"""),"Puente Tinguiririca Ruta 5")</f>
        <v>Puente Tinguiririca Ruta 5</v>
      </c>
      <c r="E728" s="19" t="str">
        <f>IFERROR(__xludf.DUMMYFUNCTION("""COMPUTED_VALUE"""),"SITIO RFI")</f>
        <v>SITIO RFI</v>
      </c>
      <c r="F728" s="19" t="str">
        <f>IFERROR(__xludf.DUMMYFUNCTION("""COMPUTED_VALUE"""),"RFI")</f>
        <v>RFI</v>
      </c>
      <c r="G728" s="19" t="str">
        <f>IFERROR(__xludf.DUMMYFUNCTION("""COMPUTED_VALUE"""),"CV60")</f>
        <v>CV60</v>
      </c>
      <c r="H728" s="19" t="str">
        <f>IFERROR(__xludf.DUMMYFUNCTION("""COMPUTED_VALUE"""),"DEITEL")</f>
        <v>DEITEL</v>
      </c>
      <c r="I728" s="19" t="str">
        <f>IFERROR(__xludf.DUMMYFUNCTION("""COMPUTED_VALUE"""),"Entregada")</f>
        <v>Entregada</v>
      </c>
      <c r="J728" s="20">
        <f>IFERROR(__xludf.DUMMYFUNCTION("""COMPUTED_VALUE"""),44746.0)</f>
        <v>44746</v>
      </c>
      <c r="K728" s="19" t="str">
        <f>IFERROR(__xludf.DUMMYFUNCTION("""COMPUTED_VALUE"""),"Entregada")</f>
        <v>Entregada</v>
      </c>
      <c r="L728" s="20">
        <f>IFERROR(__xludf.DUMMYFUNCTION("""COMPUTED_VALUE"""),44782.0)</f>
        <v>44782</v>
      </c>
      <c r="M728" s="19" t="str">
        <f>IFERROR(__xludf.DUMMYFUNCTION("""COMPUTED_VALUE"""),"PCM")</f>
        <v>PCM</v>
      </c>
      <c r="N728" s="19" t="str">
        <f>IFERROR(__xludf.DUMMYFUNCTION("""COMPUTED_VALUE"""),"PRIORIDAD 1 Q3 2023 OCTUBRE")</f>
        <v>PRIORIDAD 1 Q3 2023 OCTUBRE</v>
      </c>
    </row>
    <row r="729" ht="15.75" customHeight="1">
      <c r="A729" s="19" t="str">
        <f>IFERROR(__xludf.DUMMYFUNCTION("""COMPUTED_VALUE"""),"AB_10210")</f>
        <v>AB_10210</v>
      </c>
      <c r="B729" s="19" t="str">
        <f>IFERROR(__xludf.DUMMYFUNCTION("""COMPUTED_VALUE"""),"AB_10210_E")</f>
        <v>AB_10210_E</v>
      </c>
      <c r="C729" s="19" t="str">
        <f>IFERROR(__xludf.DUMMYFUNCTION("""COMPUTED_VALUE"""),"OH10210")</f>
        <v>OH10210</v>
      </c>
      <c r="D729" s="19" t="str">
        <f>IFERROR(__xludf.DUMMYFUNCTION("""COMPUTED_VALUE"""),"Santa Matilde Peralillo")</f>
        <v>Santa Matilde Peralillo</v>
      </c>
      <c r="E729" s="19" t="str">
        <f>IFERROR(__xludf.DUMMYFUNCTION("""COMPUTED_VALUE"""),"SITIO RFI")</f>
        <v>SITIO RFI</v>
      </c>
      <c r="F729" s="19" t="str">
        <f>IFERROR(__xludf.DUMMYFUNCTION("""COMPUTED_VALUE"""),"RFI")</f>
        <v>RFI</v>
      </c>
      <c r="G729" s="19" t="str">
        <f>IFERROR(__xludf.DUMMYFUNCTION("""COMPUTED_VALUE"""),"AS60")</f>
        <v>AS60</v>
      </c>
      <c r="H729" s="19" t="str">
        <f>IFERROR(__xludf.DUMMYFUNCTION("""COMPUTED_VALUE"""),"ADM")</f>
        <v>ADM</v>
      </c>
      <c r="I729" s="19" t="str">
        <f>IFERROR(__xludf.DUMMYFUNCTION("""COMPUTED_VALUE"""),"Entregada")</f>
        <v>Entregada</v>
      </c>
      <c r="J729" s="20">
        <f>IFERROR(__xludf.DUMMYFUNCTION("""COMPUTED_VALUE"""),44750.0)</f>
        <v>44750</v>
      </c>
      <c r="K729" s="19" t="str">
        <f>IFERROR(__xludf.DUMMYFUNCTION("""COMPUTED_VALUE"""),"Entregada")</f>
        <v>Entregada</v>
      </c>
      <c r="L729" s="20">
        <f>IFERROR(__xludf.DUMMYFUNCTION("""COMPUTED_VALUE"""),44778.0)</f>
        <v>44778</v>
      </c>
      <c r="M729" s="19" t="str">
        <f>IFERROR(__xludf.DUMMYFUNCTION("""COMPUTED_VALUE"""),"PCM")</f>
        <v>PCM</v>
      </c>
      <c r="N729" s="19" t="str">
        <f>IFERROR(__xludf.DUMMYFUNCTION("""COMPUTED_VALUE"""),"PRIORIDAD 1 Q3 2023 OCTUBRE")</f>
        <v>PRIORIDAD 1 Q3 2023 OCTUBRE</v>
      </c>
    </row>
    <row r="730" ht="15.75" customHeight="1">
      <c r="A730" s="19" t="str">
        <f>IFERROR(__xludf.DUMMYFUNCTION("""COMPUTED_VALUE"""),"AB_10217")</f>
        <v>AB_10217</v>
      </c>
      <c r="B730" s="19" t="str">
        <f>IFERROR(__xludf.DUMMYFUNCTION("""COMPUTED_VALUE"""),"AB_10217_A")</f>
        <v>AB_10217_A</v>
      </c>
      <c r="C730" s="19" t="str">
        <f>IFERROR(__xludf.DUMMYFUNCTION("""COMPUTED_VALUE"""),"OH10217")</f>
        <v>OH10217</v>
      </c>
      <c r="D730" s="19" t="str">
        <f>IFERROR(__xludf.DUMMYFUNCTION("""COMPUTED_VALUE"""),"Ruta H-20 La Estrella")</f>
        <v>Ruta H-20 La Estrella</v>
      </c>
      <c r="E730" s="19" t="str">
        <f>IFERROR(__xludf.DUMMYFUNCTION("""COMPUTED_VALUE"""),"SITIO RFI")</f>
        <v>SITIO RFI</v>
      </c>
      <c r="F730" s="19" t="str">
        <f>IFERROR(__xludf.DUMMYFUNCTION("""COMPUTED_VALUE"""),"RFI")</f>
        <v>RFI</v>
      </c>
      <c r="G730" s="19" t="str">
        <f>IFERROR(__xludf.DUMMYFUNCTION("""COMPUTED_VALUE"""),"AS42")</f>
        <v>AS42</v>
      </c>
      <c r="H730" s="19" t="str">
        <f>IFERROR(__xludf.DUMMYFUNCTION("""COMPUTED_VALUE"""),"JTI")</f>
        <v>JTI</v>
      </c>
      <c r="I730" s="19" t="str">
        <f>IFERROR(__xludf.DUMMYFUNCTION("""COMPUTED_VALUE"""),"Entregada")</f>
        <v>Entregada</v>
      </c>
      <c r="J730" s="20">
        <f>IFERROR(__xludf.DUMMYFUNCTION("""COMPUTED_VALUE"""),44610.0)</f>
        <v>44610</v>
      </c>
      <c r="K730" s="19" t="str">
        <f>IFERROR(__xludf.DUMMYFUNCTION("""COMPUTED_VALUE"""),"Entregada")</f>
        <v>Entregada</v>
      </c>
      <c r="L730" s="20">
        <f>IFERROR(__xludf.DUMMYFUNCTION("""COMPUTED_VALUE"""),44608.0)</f>
        <v>44608</v>
      </c>
      <c r="M730" s="19" t="str">
        <f>IFERROR(__xludf.DUMMYFUNCTION("""COMPUTED_VALUE"""),"PCM")</f>
        <v>PCM</v>
      </c>
      <c r="N730" s="19" t="str">
        <f>IFERROR(__xludf.DUMMYFUNCTION("""COMPUTED_VALUE"""),"PRIORIDAD 1 Q3 2023 OCTUBRE")</f>
        <v>PRIORIDAD 1 Q3 2023 OCTUBRE</v>
      </c>
    </row>
    <row r="731" ht="15.75" customHeight="1">
      <c r="A731" s="19" t="str">
        <f>IFERROR(__xludf.DUMMYFUNCTION("""COMPUTED_VALUE"""),"AB_10218")</f>
        <v>AB_10218</v>
      </c>
      <c r="B731" s="19" t="str">
        <f>IFERROR(__xludf.DUMMYFUNCTION("""COMPUTED_VALUE"""),"AB_10218_C")</f>
        <v>AB_10218_C</v>
      </c>
      <c r="C731" s="19" t="str">
        <f>IFERROR(__xludf.DUMMYFUNCTION("""COMPUTED_VALUE"""),"OH10218")</f>
        <v>OH10218</v>
      </c>
      <c r="D731" s="19" t="str">
        <f>IFERROR(__xludf.DUMMYFUNCTION("""COMPUTED_VALUE"""),"El Guaico Lolol")</f>
        <v>El Guaico Lolol</v>
      </c>
      <c r="E731" s="19" t="str">
        <f>IFERROR(__xludf.DUMMYFUNCTION("""COMPUTED_VALUE"""),"SITIO RFI")</f>
        <v>SITIO RFI</v>
      </c>
      <c r="F731" s="19" t="str">
        <f>IFERROR(__xludf.DUMMYFUNCTION("""COMPUTED_VALUE"""),"RFI")</f>
        <v>RFI</v>
      </c>
      <c r="G731" s="19" t="str">
        <f>IFERROR(__xludf.DUMMYFUNCTION("""COMPUTED_VALUE"""),"CV42")</f>
        <v>CV42</v>
      </c>
      <c r="H731" s="19" t="str">
        <f>IFERROR(__xludf.DUMMYFUNCTION("""COMPUTED_VALUE"""),"AJ")</f>
        <v>AJ</v>
      </c>
      <c r="I731" s="19" t="str">
        <f>IFERROR(__xludf.DUMMYFUNCTION("""COMPUTED_VALUE"""),"Entregada")</f>
        <v>Entregada</v>
      </c>
      <c r="J731" s="20">
        <f>IFERROR(__xludf.DUMMYFUNCTION("""COMPUTED_VALUE"""),44729.0)</f>
        <v>44729</v>
      </c>
      <c r="K731" s="19" t="str">
        <f>IFERROR(__xludf.DUMMYFUNCTION("""COMPUTED_VALUE"""),"Entregada")</f>
        <v>Entregada</v>
      </c>
      <c r="L731" s="20">
        <f>IFERROR(__xludf.DUMMYFUNCTION("""COMPUTED_VALUE"""),44763.0)</f>
        <v>44763</v>
      </c>
      <c r="M731" s="19" t="str">
        <f>IFERROR(__xludf.DUMMYFUNCTION("""COMPUTED_VALUE"""),"PCM")</f>
        <v>PCM</v>
      </c>
      <c r="N731" s="19" t="str">
        <f>IFERROR(__xludf.DUMMYFUNCTION("""COMPUTED_VALUE"""),"PRIORIDAD 1 Q3 2023 OCTUBRE")</f>
        <v>PRIORIDAD 1 Q3 2023 OCTUBRE</v>
      </c>
    </row>
    <row r="732" ht="15.75" customHeight="1">
      <c r="A732" s="19" t="str">
        <f>IFERROR(__xludf.DUMMYFUNCTION("""COMPUTED_VALUE"""),"AB_10219")</f>
        <v>AB_10219</v>
      </c>
      <c r="B732" s="19" t="str">
        <f>IFERROR(__xludf.DUMMYFUNCTION("""COMPUTED_VALUE"""),"AB_10219_D")</f>
        <v>AB_10219_D</v>
      </c>
      <c r="C732" s="19" t="str">
        <f>IFERROR(__xludf.DUMMYFUNCTION("""COMPUTED_VALUE"""),"OH10219")</f>
        <v>OH10219</v>
      </c>
      <c r="D732" s="19" t="str">
        <f>IFERROR(__xludf.DUMMYFUNCTION("""COMPUTED_VALUE"""),"Chancon Graneros")</f>
        <v>Chancon Graneros</v>
      </c>
      <c r="E732" s="19" t="str">
        <f>IFERROR(__xludf.DUMMYFUNCTION("""COMPUTED_VALUE"""),"SITIO RFI")</f>
        <v>SITIO RFI</v>
      </c>
      <c r="F732" s="19" t="str">
        <f>IFERROR(__xludf.DUMMYFUNCTION("""COMPUTED_VALUE"""),"RFI")</f>
        <v>RFI</v>
      </c>
      <c r="G732" s="19" t="str">
        <f>IFERROR(__xludf.DUMMYFUNCTION("""COMPUTED_VALUE"""),"AS42")</f>
        <v>AS42</v>
      </c>
      <c r="H732" s="19" t="str">
        <f>IFERROR(__xludf.DUMMYFUNCTION("""COMPUTED_VALUE"""),"SyC")</f>
        <v>SyC</v>
      </c>
      <c r="I732" s="19" t="str">
        <f>IFERROR(__xludf.DUMMYFUNCTION("""COMPUTED_VALUE"""),"Entregada")</f>
        <v>Entregada</v>
      </c>
      <c r="J732" s="20">
        <f>IFERROR(__xludf.DUMMYFUNCTION("""COMPUTED_VALUE"""),44671.0)</f>
        <v>44671</v>
      </c>
      <c r="K732" s="19" t="str">
        <f>IFERROR(__xludf.DUMMYFUNCTION("""COMPUTED_VALUE"""),"Entregada")</f>
        <v>Entregada</v>
      </c>
      <c r="L732" s="20">
        <f>IFERROR(__xludf.DUMMYFUNCTION("""COMPUTED_VALUE"""),44691.0)</f>
        <v>44691</v>
      </c>
      <c r="M732" s="19" t="str">
        <f>IFERROR(__xludf.DUMMYFUNCTION("""COMPUTED_VALUE"""),"PCM")</f>
        <v>PCM</v>
      </c>
      <c r="N732" s="19" t="str">
        <f>IFERROR(__xludf.DUMMYFUNCTION("""COMPUTED_VALUE"""),"PRIORIDAD 1 Q3 2023 OCTUBRE")</f>
        <v>PRIORIDAD 1 Q3 2023 OCTUBRE</v>
      </c>
    </row>
    <row r="733" ht="15.75" customHeight="1">
      <c r="A733" s="19" t="str">
        <f>IFERROR(__xludf.DUMMYFUNCTION("""COMPUTED_VALUE"""),"AB_10220")</f>
        <v>AB_10220</v>
      </c>
      <c r="B733" s="19" t="str">
        <f>IFERROR(__xludf.DUMMYFUNCTION("""COMPUTED_VALUE"""),"AB_10220_B")</f>
        <v>AB_10220_B</v>
      </c>
      <c r="C733" s="19" t="str">
        <f>IFERROR(__xludf.DUMMYFUNCTION("""COMPUTED_VALUE"""),"OH10220")</f>
        <v>OH10220</v>
      </c>
      <c r="D733" s="19" t="str">
        <f>IFERROR(__xludf.DUMMYFUNCTION("""COMPUTED_VALUE"""),"Siembras de Olivar")</f>
        <v>Siembras de Olivar</v>
      </c>
      <c r="E733" s="19" t="str">
        <f>IFERROR(__xludf.DUMMYFUNCTION("""COMPUTED_VALUE"""),"SITIO RFI")</f>
        <v>SITIO RFI</v>
      </c>
      <c r="F733" s="19" t="str">
        <f>IFERROR(__xludf.DUMMYFUNCTION("""COMPUTED_VALUE"""),"RFI")</f>
        <v>RFI</v>
      </c>
      <c r="G733" s="19" t="str">
        <f>IFERROR(__xludf.DUMMYFUNCTION("""COMPUTED_VALUE"""),"AS30")</f>
        <v>AS30</v>
      </c>
      <c r="H733" s="19" t="str">
        <f>IFERROR(__xludf.DUMMYFUNCTION("""COMPUTED_VALUE"""),"METALING")</f>
        <v>METALING</v>
      </c>
      <c r="I733" s="19" t="str">
        <f>IFERROR(__xludf.DUMMYFUNCTION("""COMPUTED_VALUE"""),"Entregada")</f>
        <v>Entregada</v>
      </c>
      <c r="J733" s="20">
        <f>IFERROR(__xludf.DUMMYFUNCTION("""COMPUTED_VALUE"""),44736.0)</f>
        <v>44736</v>
      </c>
      <c r="K733" s="19" t="str">
        <f>IFERROR(__xludf.DUMMYFUNCTION("""COMPUTED_VALUE"""),"Entregada")</f>
        <v>Entregada</v>
      </c>
      <c r="L733" s="20">
        <f>IFERROR(__xludf.DUMMYFUNCTION("""COMPUTED_VALUE"""),44743.0)</f>
        <v>44743</v>
      </c>
      <c r="M733" s="19" t="str">
        <f>IFERROR(__xludf.DUMMYFUNCTION("""COMPUTED_VALUE"""),"PCM")</f>
        <v>PCM</v>
      </c>
      <c r="N733" s="19" t="str">
        <f>IFERROR(__xludf.DUMMYFUNCTION("""COMPUTED_VALUE"""),"PRIORIDAD 1 Q3 2023 OCTUBRE")</f>
        <v>PRIORIDAD 1 Q3 2023 OCTUBRE</v>
      </c>
    </row>
    <row r="734" ht="15.75" customHeight="1">
      <c r="A734" s="19" t="str">
        <f>IFERROR(__xludf.DUMMYFUNCTION("""COMPUTED_VALUE"""),"AB_10232")</f>
        <v>AB_10232</v>
      </c>
      <c r="B734" s="19" t="str">
        <f>IFERROR(__xludf.DUMMYFUNCTION("""COMPUTED_VALUE"""),"AB_10232_D")</f>
        <v>AB_10232_D</v>
      </c>
      <c r="C734" s="19" t="str">
        <f>IFERROR(__xludf.DUMMYFUNCTION("""COMPUTED_VALUE"""),"OH10232")</f>
        <v>OH10232</v>
      </c>
      <c r="D734" s="19" t="str">
        <f>IFERROR(__xludf.DUMMYFUNCTION("""COMPUTED_VALUE"""),"Camino Las Mercedes Graneros")</f>
        <v>Camino Las Mercedes Graneros</v>
      </c>
      <c r="E734" s="19" t="str">
        <f>IFERROR(__xludf.DUMMYFUNCTION("""COMPUTED_VALUE"""),"SITIO RFI")</f>
        <v>SITIO RFI</v>
      </c>
      <c r="F734" s="19" t="str">
        <f>IFERROR(__xludf.DUMMYFUNCTION("""COMPUTED_VALUE"""),"RFI")</f>
        <v>RFI</v>
      </c>
      <c r="G734" s="19" t="str">
        <f>IFERROR(__xludf.DUMMYFUNCTION("""COMPUTED_VALUE"""),"AS24")</f>
        <v>AS24</v>
      </c>
      <c r="H734" s="19" t="str">
        <f>IFERROR(__xludf.DUMMYFUNCTION("""COMPUTED_VALUE"""),"MARJOS")</f>
        <v>MARJOS</v>
      </c>
      <c r="I734" s="19" t="str">
        <f>IFERROR(__xludf.DUMMYFUNCTION("""COMPUTED_VALUE"""),"Entregada")</f>
        <v>Entregada</v>
      </c>
      <c r="J734" s="20">
        <f>IFERROR(__xludf.DUMMYFUNCTION("""COMPUTED_VALUE"""),44645.0)</f>
        <v>44645</v>
      </c>
      <c r="K734" s="19" t="str">
        <f>IFERROR(__xludf.DUMMYFUNCTION("""COMPUTED_VALUE"""),"Entregada")</f>
        <v>Entregada</v>
      </c>
      <c r="L734" s="20">
        <f>IFERROR(__xludf.DUMMYFUNCTION("""COMPUTED_VALUE"""),44652.0)</f>
        <v>44652</v>
      </c>
      <c r="M734" s="19" t="str">
        <f>IFERROR(__xludf.DUMMYFUNCTION("""COMPUTED_VALUE"""),"PCM")</f>
        <v>PCM</v>
      </c>
      <c r="N734" s="19" t="str">
        <f>IFERROR(__xludf.DUMMYFUNCTION("""COMPUTED_VALUE"""),"PRIORIDAD 1 Q3 2023 OCTUBRE")</f>
        <v>PRIORIDAD 1 Q3 2023 OCTUBRE</v>
      </c>
    </row>
    <row r="735" ht="15.75" customHeight="1">
      <c r="A735" s="19" t="str">
        <f>IFERROR(__xludf.DUMMYFUNCTION("""COMPUTED_VALUE"""),"AB_10233")</f>
        <v>AB_10233</v>
      </c>
      <c r="B735" s="19" t="str">
        <f>IFERROR(__xludf.DUMMYFUNCTION("""COMPUTED_VALUE"""),"AB_10233_A")</f>
        <v>AB_10233_A</v>
      </c>
      <c r="C735" s="19" t="str">
        <f>IFERROR(__xludf.DUMMYFUNCTION("""COMPUTED_VALUE"""),"OH10233")</f>
        <v>OH10233</v>
      </c>
      <c r="D735" s="19" t="str">
        <f>IFERROR(__xludf.DUMMYFUNCTION("""COMPUTED_VALUE"""),"Pichidegua Los Romos")</f>
        <v>Pichidegua Los Romos</v>
      </c>
      <c r="E735" s="19" t="str">
        <f>IFERROR(__xludf.DUMMYFUNCTION("""COMPUTED_VALUE"""),"SITIO RFI")</f>
        <v>SITIO RFI</v>
      </c>
      <c r="F735" s="19" t="str">
        <f>IFERROR(__xludf.DUMMYFUNCTION("""COMPUTED_VALUE"""),"RFI")</f>
        <v>RFI</v>
      </c>
      <c r="G735" s="19" t="str">
        <f>IFERROR(__xludf.DUMMYFUNCTION("""COMPUTED_VALUE"""),"AS42")</f>
        <v>AS42</v>
      </c>
      <c r="H735" s="19" t="str">
        <f>IFERROR(__xludf.DUMMYFUNCTION("""COMPUTED_VALUE"""),"JTI")</f>
        <v>JTI</v>
      </c>
      <c r="I735" s="19" t="str">
        <f>IFERROR(__xludf.DUMMYFUNCTION("""COMPUTED_VALUE"""),"Entregada")</f>
        <v>Entregada</v>
      </c>
      <c r="J735" s="20">
        <f>IFERROR(__xludf.DUMMYFUNCTION("""COMPUTED_VALUE"""),44643.0)</f>
        <v>44643</v>
      </c>
      <c r="K735" s="19" t="str">
        <f>IFERROR(__xludf.DUMMYFUNCTION("""COMPUTED_VALUE"""),"Entregada")</f>
        <v>Entregada</v>
      </c>
      <c r="L735" s="20">
        <f>IFERROR(__xludf.DUMMYFUNCTION("""COMPUTED_VALUE"""),44643.0)</f>
        <v>44643</v>
      </c>
      <c r="M735" s="19" t="str">
        <f>IFERROR(__xludf.DUMMYFUNCTION("""COMPUTED_VALUE"""),"PCM")</f>
        <v>PCM</v>
      </c>
      <c r="N735" s="19" t="str">
        <f>IFERROR(__xludf.DUMMYFUNCTION("""COMPUTED_VALUE"""),"PRIORIDAD 1 Q3 2023 OCTUBRE")</f>
        <v>PRIORIDAD 1 Q3 2023 OCTUBRE</v>
      </c>
    </row>
    <row r="736" ht="15.75" customHeight="1">
      <c r="A736" s="19" t="str">
        <f>IFERROR(__xludf.DUMMYFUNCTION("""COMPUTED_VALUE"""),"AB_10234")</f>
        <v>AB_10234</v>
      </c>
      <c r="B736" s="19" t="str">
        <f>IFERROR(__xludf.DUMMYFUNCTION("""COMPUTED_VALUE"""),"AB_10234_F")</f>
        <v>AB_10234_F</v>
      </c>
      <c r="C736" s="19" t="str">
        <f>IFERROR(__xludf.DUMMYFUNCTION("""COMPUTED_VALUE"""),"OH10234")</f>
        <v>OH10234</v>
      </c>
      <c r="D736" s="19" t="str">
        <f>IFERROR(__xludf.DUMMYFUNCTION("""COMPUTED_VALUE"""),"Copeval Nancagua")</f>
        <v>Copeval Nancagua</v>
      </c>
      <c r="E736" s="19" t="str">
        <f>IFERROR(__xludf.DUMMYFUNCTION("""COMPUTED_VALUE"""),"SITIO EN CONSTRUCCION")</f>
        <v>SITIO EN CONSTRUCCION</v>
      </c>
      <c r="F736" s="19" t="str">
        <f>IFERROR(__xludf.DUMMYFUNCTION("""COMPUTED_VALUE"""),"ENFIERRADURA")</f>
        <v>ENFIERRADURA</v>
      </c>
      <c r="G736" s="19" t="str">
        <f>IFERROR(__xludf.DUMMYFUNCTION("""COMPUTED_VALUE"""),"AS54")</f>
        <v>AS54</v>
      </c>
      <c r="H736" s="19" t="str">
        <f>IFERROR(__xludf.DUMMYFUNCTION("""COMPUTED_VALUE"""),"AJ")</f>
        <v>AJ</v>
      </c>
      <c r="I736" s="19" t="str">
        <f>IFERROR(__xludf.DUMMYFUNCTION("""COMPUTED_VALUE"""),"Entregada")</f>
        <v>Entregada</v>
      </c>
      <c r="J736" s="20">
        <f>IFERROR(__xludf.DUMMYFUNCTION("""COMPUTED_VALUE"""),44697.0)</f>
        <v>44697</v>
      </c>
      <c r="K736" s="19" t="str">
        <f>IFERROR(__xludf.DUMMYFUNCTION("""COMPUTED_VALUE"""),"Terminada")</f>
        <v>Terminada</v>
      </c>
      <c r="L736" s="20">
        <f>IFERROR(__xludf.DUMMYFUNCTION("""COMPUTED_VALUE"""),44834.0)</f>
        <v>44834</v>
      </c>
      <c r="M736" s="19" t="str">
        <f>IFERROR(__xludf.DUMMYFUNCTION("""COMPUTED_VALUE"""),"PCM")</f>
        <v>PCM</v>
      </c>
      <c r="N736" s="19" t="str">
        <f>IFERROR(__xludf.DUMMYFUNCTION("""COMPUTED_VALUE"""),"PRIORIDAD 1 Q3 2023 OCTUBRE")</f>
        <v>PRIORIDAD 1 Q3 2023 OCTUBRE</v>
      </c>
    </row>
    <row r="737" ht="15.75" customHeight="1">
      <c r="A737" s="19" t="str">
        <f>IFERROR(__xludf.DUMMYFUNCTION("""COMPUTED_VALUE"""),"AB_10235")</f>
        <v>AB_10235</v>
      </c>
      <c r="B737" s="19" t="str">
        <f>IFERROR(__xludf.DUMMYFUNCTION("""COMPUTED_VALUE"""),"AB_10235_B")</f>
        <v>AB_10235_B</v>
      </c>
      <c r="C737" s="19" t="str">
        <f>IFERROR(__xludf.DUMMYFUNCTION("""COMPUTED_VALUE"""),"OH10235")</f>
        <v>OH10235</v>
      </c>
      <c r="D737" s="19" t="str">
        <f>IFERROR(__xludf.DUMMYFUNCTION("""COMPUTED_VALUE"""),"Guacahue")</f>
        <v>Guacahue</v>
      </c>
      <c r="E737" s="19" t="str">
        <f>IFERROR(__xludf.DUMMYFUNCTION("""COMPUTED_VALUE"""),"SITIO RFI")</f>
        <v>SITIO RFI</v>
      </c>
      <c r="F737" s="19" t="str">
        <f>IFERROR(__xludf.DUMMYFUNCTION("""COMPUTED_VALUE"""),"RFI")</f>
        <v>RFI</v>
      </c>
      <c r="G737" s="19" t="str">
        <f>IFERROR(__xludf.DUMMYFUNCTION("""COMPUTED_VALUE"""),"MP42")</f>
        <v>MP42</v>
      </c>
      <c r="H737" s="19" t="str">
        <f>IFERROR(__xludf.DUMMYFUNCTION("""COMPUTED_VALUE"""),"MT")</f>
        <v>MT</v>
      </c>
      <c r="I737" s="19" t="str">
        <f>IFERROR(__xludf.DUMMYFUNCTION("""COMPUTED_VALUE"""),"Entregada")</f>
        <v>Entregada</v>
      </c>
      <c r="J737" s="20">
        <f>IFERROR(__xludf.DUMMYFUNCTION("""COMPUTED_VALUE"""),44651.0)</f>
        <v>44651</v>
      </c>
      <c r="K737" s="19" t="str">
        <f>IFERROR(__xludf.DUMMYFUNCTION("""COMPUTED_VALUE"""),"Entregada")</f>
        <v>Entregada</v>
      </c>
      <c r="L737" s="20">
        <f>IFERROR(__xludf.DUMMYFUNCTION("""COMPUTED_VALUE"""),44680.0)</f>
        <v>44680</v>
      </c>
      <c r="M737" s="19" t="str">
        <f>IFERROR(__xludf.DUMMYFUNCTION("""COMPUTED_VALUE"""),"PCM")</f>
        <v>PCM</v>
      </c>
      <c r="N737" s="19" t="str">
        <f>IFERROR(__xludf.DUMMYFUNCTION("""COMPUTED_VALUE"""),"PRIORIDAD 1 Q3 2023 OCTUBRE")</f>
        <v>PRIORIDAD 1 Q3 2023 OCTUBRE</v>
      </c>
    </row>
    <row r="738" ht="15.75" customHeight="1">
      <c r="A738" s="19" t="str">
        <f>IFERROR(__xludf.DUMMYFUNCTION("""COMPUTED_VALUE"""),"AB_10237")</f>
        <v>AB_10237</v>
      </c>
      <c r="B738" s="19" t="str">
        <f>IFERROR(__xludf.DUMMYFUNCTION("""COMPUTED_VALUE"""),"AB_10237_B")</f>
        <v>AB_10237_B</v>
      </c>
      <c r="C738" s="19" t="str">
        <f>IFERROR(__xludf.DUMMYFUNCTION("""COMPUTED_VALUE"""),"OH10237")</f>
        <v>OH10237</v>
      </c>
      <c r="D738" s="19" t="str">
        <f>IFERROR(__xludf.DUMMYFUNCTION("""COMPUTED_VALUE"""),"Campos de Doñihue")</f>
        <v>Campos de Doñihue</v>
      </c>
      <c r="E738" s="19" t="str">
        <f>IFERROR(__xludf.DUMMYFUNCTION("""COMPUTED_VALUE"""),"SITIO RFI")</f>
        <v>SITIO RFI</v>
      </c>
      <c r="F738" s="19" t="str">
        <f>IFERROR(__xludf.DUMMYFUNCTION("""COMPUTED_VALUE"""),"RFI")</f>
        <v>RFI</v>
      </c>
      <c r="G738" s="19" t="str">
        <f>IFERROR(__xludf.DUMMYFUNCTION("""COMPUTED_VALUE"""),"MP24")</f>
        <v>MP24</v>
      </c>
      <c r="H738" s="19" t="str">
        <f>IFERROR(__xludf.DUMMYFUNCTION("""COMPUTED_VALUE"""),"MER")</f>
        <v>MER</v>
      </c>
      <c r="I738" s="19" t="str">
        <f>IFERROR(__xludf.DUMMYFUNCTION("""COMPUTED_VALUE"""),"Entregada")</f>
        <v>Entregada</v>
      </c>
      <c r="J738" s="20">
        <f>IFERROR(__xludf.DUMMYFUNCTION("""COMPUTED_VALUE"""),44697.0)</f>
        <v>44697</v>
      </c>
      <c r="K738" s="19" t="str">
        <f>IFERROR(__xludf.DUMMYFUNCTION("""COMPUTED_VALUE"""),"Entregada")</f>
        <v>Entregada</v>
      </c>
      <c r="L738" s="20">
        <f>IFERROR(__xludf.DUMMYFUNCTION("""COMPUTED_VALUE"""),44753.0)</f>
        <v>44753</v>
      </c>
      <c r="M738" s="19" t="str">
        <f>IFERROR(__xludf.DUMMYFUNCTION("""COMPUTED_VALUE"""),"PCM")</f>
        <v>PCM</v>
      </c>
      <c r="N738" s="19" t="str">
        <f>IFERROR(__xludf.DUMMYFUNCTION("""COMPUTED_VALUE"""),"PRIORIDAD 1 Q3 2023 OCTUBRE")</f>
        <v>PRIORIDAD 1 Q3 2023 OCTUBRE</v>
      </c>
    </row>
    <row r="739" ht="15.75" customHeight="1">
      <c r="A739" s="19" t="str">
        <f>IFERROR(__xludf.DUMMYFUNCTION("""COMPUTED_VALUE"""),"AB_10238")</f>
        <v>AB_10238</v>
      </c>
      <c r="B739" s="19" t="str">
        <f>IFERROR(__xludf.DUMMYFUNCTION("""COMPUTED_VALUE"""),"AB_10238_B")</f>
        <v>AB_10238_B</v>
      </c>
      <c r="C739" s="19" t="str">
        <f>IFERROR(__xludf.DUMMYFUNCTION("""COMPUTED_VALUE"""),"OH10238")</f>
        <v>OH10238</v>
      </c>
      <c r="D739" s="19" t="str">
        <f>IFERROR(__xludf.DUMMYFUNCTION("""COMPUTED_VALUE"""),"Idahuillo Coltauco")</f>
        <v>Idahuillo Coltauco</v>
      </c>
      <c r="E739" s="19" t="str">
        <f>IFERROR(__xludf.DUMMYFUNCTION("""COMPUTED_VALUE"""),"SITIO RFI")</f>
        <v>SITIO RFI</v>
      </c>
      <c r="F739" s="19" t="str">
        <f>IFERROR(__xludf.DUMMYFUNCTION("""COMPUTED_VALUE"""),"RFI")</f>
        <v>RFI</v>
      </c>
      <c r="G739" s="19" t="str">
        <f>IFERROR(__xludf.DUMMYFUNCTION("""COMPUTED_VALUE"""),"AS60")</f>
        <v>AS60</v>
      </c>
      <c r="H739" s="19" t="str">
        <f>IFERROR(__xludf.DUMMYFUNCTION("""COMPUTED_VALUE"""),"MER")</f>
        <v>MER</v>
      </c>
      <c r="I739" s="19" t="str">
        <f>IFERROR(__xludf.DUMMYFUNCTION("""COMPUTED_VALUE"""),"Entregada")</f>
        <v>Entregada</v>
      </c>
      <c r="J739" s="20">
        <f>IFERROR(__xludf.DUMMYFUNCTION("""COMPUTED_VALUE"""),44697.0)</f>
        <v>44697</v>
      </c>
      <c r="K739" s="19" t="str">
        <f>IFERROR(__xludf.DUMMYFUNCTION("""COMPUTED_VALUE"""),"Entregada")</f>
        <v>Entregada</v>
      </c>
      <c r="L739" s="20">
        <f>IFERROR(__xludf.DUMMYFUNCTION("""COMPUTED_VALUE"""),44708.0)</f>
        <v>44708</v>
      </c>
      <c r="M739" s="19" t="str">
        <f>IFERROR(__xludf.DUMMYFUNCTION("""COMPUTED_VALUE"""),"PCM")</f>
        <v>PCM</v>
      </c>
      <c r="N739" s="19" t="str">
        <f>IFERROR(__xludf.DUMMYFUNCTION("""COMPUTED_VALUE"""),"PRIORIDAD 1 Q3 2023 OCTUBRE")</f>
        <v>PRIORIDAD 1 Q3 2023 OCTUBRE</v>
      </c>
    </row>
    <row r="740" ht="15.75" customHeight="1">
      <c r="A740" s="19" t="str">
        <f>IFERROR(__xludf.DUMMYFUNCTION("""COMPUTED_VALUE"""),"AB_10357")</f>
        <v>AB_10357</v>
      </c>
      <c r="B740" s="19" t="str">
        <f>IFERROR(__xludf.DUMMYFUNCTION("""COMPUTED_VALUE"""),"AB_10357_B")</f>
        <v>AB_10357_B</v>
      </c>
      <c r="C740" s="19" t="str">
        <f>IFERROR(__xludf.DUMMYFUNCTION("""COMPUTED_VALUE"""),"OH10357")</f>
        <v>OH10357</v>
      </c>
      <c r="D740" s="19" t="str">
        <f>IFERROR(__xludf.DUMMYFUNCTION("""COMPUTED_VALUE"""),"Coya Repetidor")</f>
        <v>Coya Repetidor</v>
      </c>
      <c r="E740" s="19" t="str">
        <f>IFERROR(__xludf.DUMMYFUNCTION("""COMPUTED_VALUE"""),"SITIO RFI")</f>
        <v>SITIO RFI</v>
      </c>
      <c r="F740" s="19" t="str">
        <f>IFERROR(__xludf.DUMMYFUNCTION("""COMPUTED_VALUE"""),"RFI")</f>
        <v>RFI</v>
      </c>
      <c r="G740" s="19" t="str">
        <f>IFERROR(__xludf.DUMMYFUNCTION("""COMPUTED_VALUE"""),"CV36")</f>
        <v>CV36</v>
      </c>
      <c r="H740" s="19" t="str">
        <f>IFERROR(__xludf.DUMMYFUNCTION("""COMPUTED_VALUE"""),"AJ")</f>
        <v>AJ</v>
      </c>
      <c r="I740" s="19" t="str">
        <f>IFERROR(__xludf.DUMMYFUNCTION("""COMPUTED_VALUE"""),"Entregada")</f>
        <v>Entregada</v>
      </c>
      <c r="J740" s="20">
        <f>IFERROR(__xludf.DUMMYFUNCTION("""COMPUTED_VALUE"""),44697.0)</f>
        <v>44697</v>
      </c>
      <c r="K740" s="19" t="str">
        <f>IFERROR(__xludf.DUMMYFUNCTION("""COMPUTED_VALUE"""),"Entregada")</f>
        <v>Entregada</v>
      </c>
      <c r="L740" s="20">
        <f>IFERROR(__xludf.DUMMYFUNCTION("""COMPUTED_VALUE"""),44852.0)</f>
        <v>44852</v>
      </c>
      <c r="M740" s="19" t="str">
        <f>IFERROR(__xludf.DUMMYFUNCTION("""COMPUTED_VALUE"""),"PCM")</f>
        <v>PCM</v>
      </c>
      <c r="N740" s="19" t="str">
        <f>IFERROR(__xludf.DUMMYFUNCTION("""COMPUTED_VALUE"""),"PRIORIDAD 1 Q3 2023 OCTUBRE")</f>
        <v>PRIORIDAD 1 Q3 2023 OCTUBRE</v>
      </c>
    </row>
    <row r="741" ht="15.75" customHeight="1">
      <c r="A741" s="19" t="str">
        <f>IFERROR(__xludf.DUMMYFUNCTION("""COMPUTED_VALUE"""),"AB_10496")</f>
        <v>AB_10496</v>
      </c>
      <c r="B741" s="19" t="str">
        <f>IFERROR(__xludf.DUMMYFUNCTION("""COMPUTED_VALUE"""),"AB_10496_F")</f>
        <v>AB_10496_F</v>
      </c>
      <c r="C741" s="19" t="str">
        <f>IFERROR(__xludf.DUMMYFUNCTION("""COMPUTED_VALUE"""),"OH10496")</f>
        <v>OH10496</v>
      </c>
      <c r="D741" s="19" t="str">
        <f>IFERROR(__xludf.DUMMYFUNCTION("""COMPUTED_VALUE"""),"Rengo Pueblo RU")</f>
        <v>Rengo Pueblo RU</v>
      </c>
      <c r="E741" s="19" t="str">
        <f>IFERROR(__xludf.DUMMYFUNCTION("""COMPUTED_VALUE"""),"SITIO CONSTRUIDO")</f>
        <v>SITIO CONSTRUIDO</v>
      </c>
      <c r="F741" s="19"/>
      <c r="G741" s="19" t="str">
        <f>IFERROR(__xludf.DUMMYFUNCTION("""COMPUTED_VALUE"""),"MP R12")</f>
        <v>MP R12</v>
      </c>
      <c r="H741" s="19" t="str">
        <f>IFERROR(__xludf.DUMMYFUNCTION("""COMPUTED_VALUE"""),"COMPRAS")</f>
        <v>COMPRAS</v>
      </c>
      <c r="I741" s="19"/>
      <c r="J741" s="19"/>
      <c r="K741" s="19"/>
      <c r="L741" s="19"/>
      <c r="M741" s="19" t="str">
        <f>IFERROR(__xludf.DUMMYFUNCTION("""COMPUTED_VALUE"""),"PCM")</f>
        <v>PCM</v>
      </c>
      <c r="N741" s="19" t="str">
        <f>IFERROR(__xludf.DUMMYFUNCTION("""COMPUTED_VALUE"""),"PRIORIDAD 3 Q1 2024 MARZO")</f>
        <v>PRIORIDAD 3 Q1 2024 MARZO</v>
      </c>
    </row>
    <row r="742" ht="15.75" customHeight="1">
      <c r="A742" s="19" t="str">
        <f>IFERROR(__xludf.DUMMYFUNCTION("""COMPUTED_VALUE"""),"AB_9680")</f>
        <v>AB_9680</v>
      </c>
      <c r="B742" s="19" t="str">
        <f>IFERROR(__xludf.DUMMYFUNCTION("""COMPUTED_VALUE"""),"AB_9680_B")</f>
        <v>AB_9680_B</v>
      </c>
      <c r="C742" s="19" t="str">
        <f>IFERROR(__xludf.DUMMYFUNCTION("""COMPUTED_VALUE"""),"NU9680")</f>
        <v>NU9680</v>
      </c>
      <c r="D742" s="19" t="str">
        <f>IFERROR(__xludf.DUMMYFUNCTION("""COMPUTED_VALUE"""),"Huechupin")</f>
        <v>Huechupin</v>
      </c>
      <c r="E742" s="19" t="str">
        <f>IFERROR(__xludf.DUMMYFUNCTION("""COMPUTED_VALUE"""),"SITIO CONSTRUIDO")</f>
        <v>SITIO CONSTRUIDO</v>
      </c>
      <c r="F742" s="19" t="str">
        <f>IFERROR(__xludf.DUMMYFUNCTION("""COMPUTED_VALUE"""),"MONTAJE")</f>
        <v>MONTAJE</v>
      </c>
      <c r="G742" s="19" t="str">
        <f>IFERROR(__xludf.DUMMYFUNCTION("""COMPUTED_VALUE"""),"AS48")</f>
        <v>AS48</v>
      </c>
      <c r="H742" s="19" t="str">
        <f>IFERROR(__xludf.DUMMYFUNCTION("""COMPUTED_VALUE"""),"ADM")</f>
        <v>ADM</v>
      </c>
      <c r="I742" s="19" t="str">
        <f>IFERROR(__xludf.DUMMYFUNCTION("""COMPUTED_VALUE"""),"Entregada")</f>
        <v>Entregada</v>
      </c>
      <c r="J742" s="20">
        <f>IFERROR(__xludf.DUMMYFUNCTION("""COMPUTED_VALUE"""),44750.0)</f>
        <v>44750</v>
      </c>
      <c r="K742" s="19" t="str">
        <f>IFERROR(__xludf.DUMMYFUNCTION("""COMPUTED_VALUE"""),"Entregada")</f>
        <v>Entregada</v>
      </c>
      <c r="L742" s="20">
        <f>IFERROR(__xludf.DUMMYFUNCTION("""COMPUTED_VALUE"""),44785.0)</f>
        <v>44785</v>
      </c>
      <c r="M742" s="19" t="str">
        <f>IFERROR(__xludf.DUMMYFUNCTION("""COMPUTED_VALUE"""),"LLOO")</f>
        <v>LLOO</v>
      </c>
      <c r="N742" s="19" t="str">
        <f>IFERROR(__xludf.DUMMYFUNCTION("""COMPUTED_VALUE"""),"PRIORIDAD 1 Q3 2023 OCTUBRE")</f>
        <v>PRIORIDAD 1 Q3 2023 OCTUBRE</v>
      </c>
    </row>
    <row r="743" ht="15.75" customHeight="1">
      <c r="A743" s="19" t="str">
        <f>IFERROR(__xludf.DUMMYFUNCTION("""COMPUTED_VALUE"""),"AB_10668")</f>
        <v>AB_10668</v>
      </c>
      <c r="B743" s="19" t="str">
        <f>IFERROR(__xludf.DUMMYFUNCTION("""COMPUTED_VALUE"""),"AB_10668_A")</f>
        <v>AB_10668_A</v>
      </c>
      <c r="C743" s="19" t="str">
        <f>IFERROR(__xludf.DUMMYFUNCTION("""COMPUTED_VALUE"""),"OH10668")</f>
        <v>OH10668</v>
      </c>
      <c r="D743" s="19" t="str">
        <f>IFERROR(__xludf.DUMMYFUNCTION("""COMPUTED_VALUE"""),"Prat San Vicente RU")</f>
        <v>Prat San Vicente RU</v>
      </c>
      <c r="E743" s="19" t="str">
        <f>IFERROR(__xludf.DUMMYFUNCTION("""COMPUTED_VALUE"""),"DETENIDO COMPRA ESTRUCTURA")</f>
        <v>DETENIDO COMPRA ESTRUCTURA</v>
      </c>
      <c r="F743" s="19"/>
      <c r="G743" s="19" t="str">
        <f>IFERROR(__xludf.DUMMYFUNCTION("""COMPUTED_VALUE"""),"MP R36")</f>
        <v>MP R36</v>
      </c>
      <c r="H743" s="19" t="str">
        <f>IFERROR(__xludf.DUMMYFUNCTION("""COMPUTED_VALUE"""),"COMPRAS")</f>
        <v>COMPRAS</v>
      </c>
      <c r="I743" s="19"/>
      <c r="J743" s="19"/>
      <c r="K743" s="19"/>
      <c r="L743" s="19"/>
      <c r="M743" s="19" t="str">
        <f>IFERROR(__xludf.DUMMYFUNCTION("""COMPUTED_VALUE"""),"PCM_5")</f>
        <v>PCM_5</v>
      </c>
      <c r="N743" s="19" t="str">
        <f>IFERROR(__xludf.DUMMYFUNCTION("""COMPUTED_VALUE"""),"PCM_5")</f>
        <v>PCM_5</v>
      </c>
    </row>
    <row r="744" ht="15.75" customHeight="1">
      <c r="A744" s="19" t="str">
        <f>IFERROR(__xludf.DUMMYFUNCTION("""COMPUTED_VALUE"""),"AB_10982")</f>
        <v>AB_10982</v>
      </c>
      <c r="B744" s="19" t="str">
        <f>IFERROR(__xludf.DUMMYFUNCTION("""COMPUTED_VALUE"""),"AB_10982_A")</f>
        <v>AB_10982_A</v>
      </c>
      <c r="C744" s="19" t="str">
        <f>IFERROR(__xludf.DUMMYFUNCTION("""COMPUTED_VALUE"""),"OH10982")</f>
        <v>OH10982</v>
      </c>
      <c r="D744" s="19" t="str">
        <f>IFERROR(__xludf.DUMMYFUNCTION("""COMPUTED_VALUE"""),"La Pitra")</f>
        <v>La Pitra</v>
      </c>
      <c r="E744" s="19" t="str">
        <f>IFERROR(__xludf.DUMMYFUNCTION("""COMPUTED_VALUE"""),"SITIO RFI")</f>
        <v>SITIO RFI</v>
      </c>
      <c r="F744" s="19" t="str">
        <f>IFERROR(__xludf.DUMMYFUNCTION("""COMPUTED_VALUE"""),"RFI")</f>
        <v>RFI</v>
      </c>
      <c r="G744" s="19" t="str">
        <f>IFERROR(__xludf.DUMMYFUNCTION("""COMPUTED_VALUE"""),"AS42")</f>
        <v>AS42</v>
      </c>
      <c r="H744" s="19" t="str">
        <f>IFERROR(__xludf.DUMMYFUNCTION("""COMPUTED_VALUE"""),"DEITEL")</f>
        <v>DEITEL</v>
      </c>
      <c r="I744" s="19" t="str">
        <f>IFERROR(__xludf.DUMMYFUNCTION("""COMPUTED_VALUE"""),"Entregada")</f>
        <v>Entregada</v>
      </c>
      <c r="J744" s="20">
        <f>IFERROR(__xludf.DUMMYFUNCTION("""COMPUTED_VALUE"""),44705.0)</f>
        <v>44705</v>
      </c>
      <c r="K744" s="19" t="str">
        <f>IFERROR(__xludf.DUMMYFUNCTION("""COMPUTED_VALUE"""),"Entregada")</f>
        <v>Entregada</v>
      </c>
      <c r="L744" s="20">
        <f>IFERROR(__xludf.DUMMYFUNCTION("""COMPUTED_VALUE"""),44734.0)</f>
        <v>44734</v>
      </c>
      <c r="M744" s="19" t="str">
        <f>IFERROR(__xludf.DUMMYFUNCTION("""COMPUTED_VALUE"""),"PCM_2")</f>
        <v>PCM_2</v>
      </c>
      <c r="N744" s="19" t="str">
        <f>IFERROR(__xludf.DUMMYFUNCTION("""COMPUTED_VALUE"""),"PRIORIDAD 1 Q3 2023 OCTUBRE")</f>
        <v>PRIORIDAD 1 Q3 2023 OCTUBRE</v>
      </c>
    </row>
    <row r="745" ht="15.75" customHeight="1">
      <c r="A745" s="19" t="str">
        <f>IFERROR(__xludf.DUMMYFUNCTION("""COMPUTED_VALUE"""),"AB_11201")</f>
        <v>AB_11201</v>
      </c>
      <c r="B745" s="19" t="str">
        <f>IFERROR(__xludf.DUMMYFUNCTION("""COMPUTED_VALUE"""),"AB_11201_B")</f>
        <v>AB_11201_B</v>
      </c>
      <c r="C745" s="19" t="str">
        <f>IFERROR(__xludf.DUMMYFUNCTION("""COMPUTED_VALUE"""),"OH11201")</f>
        <v>OH11201</v>
      </c>
      <c r="D745" s="19" t="str">
        <f>IFERROR(__xludf.DUMMYFUNCTION("""COMPUTED_VALUE"""),"Membrillar RU")</f>
        <v>Membrillar RU</v>
      </c>
      <c r="E745" s="19" t="str">
        <f>IFERROR(__xludf.DUMMYFUNCTION("""COMPUTED_VALUE"""),"DETENIDO COMPRA ESTRUCTURA")</f>
        <v>DETENIDO COMPRA ESTRUCTURA</v>
      </c>
      <c r="F745" s="19"/>
      <c r="G745" s="19" t="str">
        <f>IFERROR(__xludf.DUMMYFUNCTION("""COMPUTED_VALUE"""),"MP R36")</f>
        <v>MP R36</v>
      </c>
      <c r="H745" s="19" t="str">
        <f>IFERROR(__xludf.DUMMYFUNCTION("""COMPUTED_VALUE"""),"COMPRAS")</f>
        <v>COMPRAS</v>
      </c>
      <c r="I745" s="19"/>
      <c r="J745" s="19"/>
      <c r="K745" s="19"/>
      <c r="L745" s="19"/>
      <c r="M745" s="19" t="str">
        <f>IFERROR(__xludf.DUMMYFUNCTION("""COMPUTED_VALUE"""),"PCM_5")</f>
        <v>PCM_5</v>
      </c>
      <c r="N745" s="19" t="str">
        <f>IFERROR(__xludf.DUMMYFUNCTION("""COMPUTED_VALUE"""),"PCM_5")</f>
        <v>PCM_5</v>
      </c>
    </row>
    <row r="746" ht="15.75" customHeight="1">
      <c r="A746" s="19" t="str">
        <f>IFERROR(__xludf.DUMMYFUNCTION("""COMPUTED_VALUE"""),"AB_11204")</f>
        <v>AB_11204</v>
      </c>
      <c r="B746" s="19" t="str">
        <f>IFERROR(__xludf.DUMMYFUNCTION("""COMPUTED_VALUE"""),"AB_11204_C")</f>
        <v>AB_11204_C</v>
      </c>
      <c r="C746" s="19" t="str">
        <f>IFERROR(__xludf.DUMMYFUNCTION("""COMPUTED_VALUE"""),"OH11204")</f>
        <v>OH11204</v>
      </c>
      <c r="D746" s="19" t="str">
        <f>IFERROR(__xludf.DUMMYFUNCTION("""COMPUTED_VALUE"""),"Santa Cruz Errazuriz RU")</f>
        <v>Santa Cruz Errazuriz RU</v>
      </c>
      <c r="E746" s="19" t="str">
        <f>IFERROR(__xludf.DUMMYFUNCTION("""COMPUTED_VALUE"""),"DETENIDO COMPRA ESTRUCTURA")</f>
        <v>DETENIDO COMPRA ESTRUCTURA</v>
      </c>
      <c r="F746" s="19"/>
      <c r="G746" s="19" t="str">
        <f>IFERROR(__xludf.DUMMYFUNCTION("""COMPUTED_VALUE"""),"MP R40")</f>
        <v>MP R40</v>
      </c>
      <c r="H746" s="19" t="str">
        <f>IFERROR(__xludf.DUMMYFUNCTION("""COMPUTED_VALUE"""),"COMPRAS")</f>
        <v>COMPRAS</v>
      </c>
      <c r="I746" s="19"/>
      <c r="J746" s="19"/>
      <c r="K746" s="19"/>
      <c r="L746" s="19"/>
      <c r="M746" s="19" t="str">
        <f>IFERROR(__xludf.DUMMYFUNCTION("""COMPUTED_VALUE"""),"PCM_5")</f>
        <v>PCM_5</v>
      </c>
      <c r="N746" s="19" t="str">
        <f>IFERROR(__xludf.DUMMYFUNCTION("""COMPUTED_VALUE"""),"PCM_5")</f>
        <v>PCM_5</v>
      </c>
    </row>
    <row r="747" ht="15.75" customHeight="1">
      <c r="A747" s="19" t="str">
        <f>IFERROR(__xludf.DUMMYFUNCTION("""COMPUTED_VALUE"""),"AB_11212")</f>
        <v>AB_11212</v>
      </c>
      <c r="B747" s="19" t="str">
        <f>IFERROR(__xludf.DUMMYFUNCTION("""COMPUTED_VALUE"""),"AB_11212_E")</f>
        <v>AB_11212_E</v>
      </c>
      <c r="C747" s="19" t="str">
        <f>IFERROR(__xludf.DUMMYFUNCTION("""COMPUTED_VALUE"""),"OH11212")</f>
        <v>OH11212</v>
      </c>
      <c r="D747" s="19" t="str">
        <f>IFERROR(__xludf.DUMMYFUNCTION("""COMPUTED_VALUE"""),"Condominio Kuzemallu Pichilemu")</f>
        <v>Condominio Kuzemallu Pichilemu</v>
      </c>
      <c r="E747" s="19" t="str">
        <f>IFERROR(__xludf.DUMMYFUNCTION("""COMPUTED_VALUE"""),"SITIO RFI")</f>
        <v>SITIO RFI</v>
      </c>
      <c r="F747" s="19" t="str">
        <f>IFERROR(__xludf.DUMMYFUNCTION("""COMPUTED_VALUE"""),"RFI")</f>
        <v>RFI</v>
      </c>
      <c r="G747" s="19" t="str">
        <f>IFERROR(__xludf.DUMMYFUNCTION("""COMPUTED_VALUE"""),"AS60")</f>
        <v>AS60</v>
      </c>
      <c r="H747" s="19" t="str">
        <f>IFERROR(__xludf.DUMMYFUNCTION("""COMPUTED_VALUE"""),"ADM")</f>
        <v>ADM</v>
      </c>
      <c r="I747" s="19" t="str">
        <f>IFERROR(__xludf.DUMMYFUNCTION("""COMPUTED_VALUE"""),"Entregada")</f>
        <v>Entregada</v>
      </c>
      <c r="J747" s="20">
        <f>IFERROR(__xludf.DUMMYFUNCTION("""COMPUTED_VALUE"""),44750.0)</f>
        <v>44750</v>
      </c>
      <c r="K747" s="19" t="str">
        <f>IFERROR(__xludf.DUMMYFUNCTION("""COMPUTED_VALUE"""),"Entregada")</f>
        <v>Entregada</v>
      </c>
      <c r="L747" s="20">
        <f>IFERROR(__xludf.DUMMYFUNCTION("""COMPUTED_VALUE"""),44778.0)</f>
        <v>44778</v>
      </c>
      <c r="M747" s="19" t="str">
        <f>IFERROR(__xludf.DUMMYFUNCTION("""COMPUTED_VALUE"""),"PCM_2")</f>
        <v>PCM_2</v>
      </c>
      <c r="N747" s="19" t="str">
        <f>IFERROR(__xludf.DUMMYFUNCTION("""COMPUTED_VALUE"""),"PRIORIDAD 1 Q3 2023 OCTUBRE")</f>
        <v>PRIORIDAD 1 Q3 2023 OCTUBRE</v>
      </c>
    </row>
    <row r="748" ht="15.75" customHeight="1">
      <c r="A748" s="19" t="str">
        <f>IFERROR(__xludf.DUMMYFUNCTION("""COMPUTED_VALUE"""),"AB_11298")</f>
        <v>AB_11298</v>
      </c>
      <c r="B748" s="19" t="str">
        <f>IFERROR(__xludf.DUMMYFUNCTION("""COMPUTED_VALUE"""),"AB_11298_C")</f>
        <v>AB_11298_C</v>
      </c>
      <c r="C748" s="19" t="str">
        <f>IFERROR(__xludf.DUMMYFUNCTION("""COMPUTED_VALUE"""),"OH11298")</f>
        <v>OH11298</v>
      </c>
      <c r="D748" s="19" t="str">
        <f>IFERROR(__xludf.DUMMYFUNCTION("""COMPUTED_VALUE"""),"El Molle Pichidegua")</f>
        <v>El Molle Pichidegua</v>
      </c>
      <c r="E748" s="19" t="str">
        <f>IFERROR(__xludf.DUMMYFUNCTION("""COMPUTED_VALUE"""),"SITIO RFI")</f>
        <v>SITIO RFI</v>
      </c>
      <c r="F748" s="19" t="str">
        <f>IFERROR(__xludf.DUMMYFUNCTION("""COMPUTED_VALUE"""),"RFI")</f>
        <v>RFI</v>
      </c>
      <c r="G748" s="19" t="str">
        <f>IFERROR(__xludf.DUMMYFUNCTION("""COMPUTED_VALUE"""),"AS60")</f>
        <v>AS60</v>
      </c>
      <c r="H748" s="19" t="str">
        <f>IFERROR(__xludf.DUMMYFUNCTION("""COMPUTED_VALUE"""),"ADM")</f>
        <v>ADM</v>
      </c>
      <c r="I748" s="19" t="str">
        <f>IFERROR(__xludf.DUMMYFUNCTION("""COMPUTED_VALUE"""),"Entregada")</f>
        <v>Entregada</v>
      </c>
      <c r="J748" s="20">
        <f>IFERROR(__xludf.DUMMYFUNCTION("""COMPUTED_VALUE"""),44750.0)</f>
        <v>44750</v>
      </c>
      <c r="K748" s="19" t="str">
        <f>IFERROR(__xludf.DUMMYFUNCTION("""COMPUTED_VALUE"""),"Entregada")</f>
        <v>Entregada</v>
      </c>
      <c r="L748" s="20">
        <f>IFERROR(__xludf.DUMMYFUNCTION("""COMPUTED_VALUE"""),44778.0)</f>
        <v>44778</v>
      </c>
      <c r="M748" s="19" t="str">
        <f>IFERROR(__xludf.DUMMYFUNCTION("""COMPUTED_VALUE"""),"PCM_2")</f>
        <v>PCM_2</v>
      </c>
      <c r="N748" s="19" t="str">
        <f>IFERROR(__xludf.DUMMYFUNCTION("""COMPUTED_VALUE"""),"PRIORIDAD 1 Q3 2023 OCTUBRE")</f>
        <v>PRIORIDAD 1 Q3 2023 OCTUBRE</v>
      </c>
    </row>
    <row r="749" ht="15.75" customHeight="1">
      <c r="A749" s="19" t="str">
        <f>IFERROR(__xludf.DUMMYFUNCTION("""COMPUTED_VALUE"""),"AB_11300")</f>
        <v>AB_11300</v>
      </c>
      <c r="B749" s="19" t="str">
        <f>IFERROR(__xludf.DUMMYFUNCTION("""COMPUTED_VALUE"""),"AB_11300_B")</f>
        <v>AB_11300_B</v>
      </c>
      <c r="C749" s="19" t="str">
        <f>IFERROR(__xludf.DUMMYFUNCTION("""COMPUTED_VALUE"""),"OH11300")</f>
        <v>OH11300</v>
      </c>
      <c r="D749" s="19" t="str">
        <f>IFERROR(__xludf.DUMMYFUNCTION("""COMPUTED_VALUE"""),"Viña Luis Felipe Edwards")</f>
        <v>Viña Luis Felipe Edwards</v>
      </c>
      <c r="E749" s="19" t="str">
        <f>IFERROR(__xludf.DUMMYFUNCTION("""COMPUTED_VALUE"""),"SITIO RFI")</f>
        <v>SITIO RFI</v>
      </c>
      <c r="F749" s="19" t="str">
        <f>IFERROR(__xludf.DUMMYFUNCTION("""COMPUTED_VALUE"""),"RFI")</f>
        <v>RFI</v>
      </c>
      <c r="G749" s="19" t="str">
        <f>IFERROR(__xludf.DUMMYFUNCTION("""COMPUTED_VALUE"""),"AS60")</f>
        <v>AS60</v>
      </c>
      <c r="H749" s="19" t="str">
        <f>IFERROR(__xludf.DUMMYFUNCTION("""COMPUTED_VALUE"""),"MER")</f>
        <v>MER</v>
      </c>
      <c r="I749" s="19" t="str">
        <f>IFERROR(__xludf.DUMMYFUNCTION("""COMPUTED_VALUE"""),"Entregada")</f>
        <v>Entregada</v>
      </c>
      <c r="J749" s="20">
        <f>IFERROR(__xludf.DUMMYFUNCTION("""COMPUTED_VALUE"""),44722.0)</f>
        <v>44722</v>
      </c>
      <c r="K749" s="19" t="str">
        <f>IFERROR(__xludf.DUMMYFUNCTION("""COMPUTED_VALUE"""),"Entregada")</f>
        <v>Entregada</v>
      </c>
      <c r="L749" s="20">
        <f>IFERROR(__xludf.DUMMYFUNCTION("""COMPUTED_VALUE"""),44834.0)</f>
        <v>44834</v>
      </c>
      <c r="M749" s="19" t="str">
        <f>IFERROR(__xludf.DUMMYFUNCTION("""COMPUTED_VALUE"""),"PCM_2")</f>
        <v>PCM_2</v>
      </c>
      <c r="N749" s="19" t="str">
        <f>IFERROR(__xludf.DUMMYFUNCTION("""COMPUTED_VALUE"""),"PRIORIDAD 1 Q3 2023 OCTUBRE")</f>
        <v>PRIORIDAD 1 Q3 2023 OCTUBRE</v>
      </c>
    </row>
    <row r="750" ht="15.75" customHeight="1">
      <c r="A750" s="19" t="str">
        <f>IFERROR(__xludf.DUMMYFUNCTION("""COMPUTED_VALUE"""),"AB_11301")</f>
        <v>AB_11301</v>
      </c>
      <c r="B750" s="19" t="str">
        <f>IFERROR(__xludf.DUMMYFUNCTION("""COMPUTED_VALUE"""),"AB_11301_A")</f>
        <v>AB_11301_A</v>
      </c>
      <c r="C750" s="19" t="str">
        <f>IFERROR(__xludf.DUMMYFUNCTION("""COMPUTED_VALUE"""),"OH11301")</f>
        <v>OH11301</v>
      </c>
      <c r="D750" s="19" t="str">
        <f>IFERROR(__xludf.DUMMYFUNCTION("""COMPUTED_VALUE"""),"Casona del Huique")</f>
        <v>Casona del Huique</v>
      </c>
      <c r="E750" s="19" t="str">
        <f>IFERROR(__xludf.DUMMYFUNCTION("""COMPUTED_VALUE"""),"SITIO RFI")</f>
        <v>SITIO RFI</v>
      </c>
      <c r="F750" s="19" t="str">
        <f>IFERROR(__xludf.DUMMYFUNCTION("""COMPUTED_VALUE"""),"RFI")</f>
        <v>RFI</v>
      </c>
      <c r="G750" s="19" t="str">
        <f>IFERROR(__xludf.DUMMYFUNCTION("""COMPUTED_VALUE"""),"AS42")</f>
        <v>AS42</v>
      </c>
      <c r="H750" s="19" t="str">
        <f>IFERROR(__xludf.DUMMYFUNCTION("""COMPUTED_VALUE"""),"AJ")</f>
        <v>AJ</v>
      </c>
      <c r="I750" s="19" t="str">
        <f>IFERROR(__xludf.DUMMYFUNCTION("""COMPUTED_VALUE"""),"Entregada")</f>
        <v>Entregada</v>
      </c>
      <c r="J750" s="20">
        <f>IFERROR(__xludf.DUMMYFUNCTION("""COMPUTED_VALUE"""),44664.0)</f>
        <v>44664</v>
      </c>
      <c r="K750" s="19" t="str">
        <f>IFERROR(__xludf.DUMMYFUNCTION("""COMPUTED_VALUE"""),"Entregada")</f>
        <v>Entregada</v>
      </c>
      <c r="L750" s="20">
        <f>IFERROR(__xludf.DUMMYFUNCTION("""COMPUTED_VALUE"""),44722.0)</f>
        <v>44722</v>
      </c>
      <c r="M750" s="19" t="str">
        <f>IFERROR(__xludf.DUMMYFUNCTION("""COMPUTED_VALUE"""),"PCM_2")</f>
        <v>PCM_2</v>
      </c>
      <c r="N750" s="19" t="str">
        <f>IFERROR(__xludf.DUMMYFUNCTION("""COMPUTED_VALUE"""),"PRIORIDAD 1 Q3 2023 OCTUBRE")</f>
        <v>PRIORIDAD 1 Q3 2023 OCTUBRE</v>
      </c>
    </row>
    <row r="751" ht="15.75" customHeight="1">
      <c r="A751" s="19" t="str">
        <f>IFERROR(__xludf.DUMMYFUNCTION("""COMPUTED_VALUE"""),"AB_11509")</f>
        <v>AB_11509</v>
      </c>
      <c r="B751" s="19" t="str">
        <f>IFERROR(__xludf.DUMMYFUNCTION("""COMPUTED_VALUE"""),"AB_11509_B")</f>
        <v>AB_11509_B</v>
      </c>
      <c r="C751" s="19" t="str">
        <f>IFERROR(__xludf.DUMMYFUNCTION("""COMPUTED_VALUE"""),"OH11509")</f>
        <v>OH11509</v>
      </c>
      <c r="D751" s="19" t="str">
        <f>IFERROR(__xludf.DUMMYFUNCTION("""COMPUTED_VALUE"""),"Costa del Sol RU")</f>
        <v>Costa del Sol RU</v>
      </c>
      <c r="E751" s="19" t="str">
        <f>IFERROR(__xludf.DUMMYFUNCTION("""COMPUTED_VALUE"""),"SITIO RFI")</f>
        <v>SITIO RFI</v>
      </c>
      <c r="F751" s="19" t="str">
        <f>IFERROR(__xludf.DUMMYFUNCTION("""COMPUTED_VALUE"""),"RFI")</f>
        <v>RFI</v>
      </c>
      <c r="G751" s="19" t="str">
        <f>IFERROR(__xludf.DUMMYFUNCTION("""COMPUTED_VALUE"""),"AS60")</f>
        <v>AS60</v>
      </c>
      <c r="H751" s="19" t="str">
        <f>IFERROR(__xludf.DUMMYFUNCTION("""COMPUTED_VALUE"""),"ADM")</f>
        <v>ADM</v>
      </c>
      <c r="I751" s="19" t="str">
        <f>IFERROR(__xludf.DUMMYFUNCTION("""COMPUTED_VALUE"""),"Entregada")</f>
        <v>Entregada</v>
      </c>
      <c r="J751" s="20">
        <f>IFERROR(__xludf.DUMMYFUNCTION("""COMPUTED_VALUE"""),44750.0)</f>
        <v>44750</v>
      </c>
      <c r="K751" s="19" t="str">
        <f>IFERROR(__xludf.DUMMYFUNCTION("""COMPUTED_VALUE"""),"Entregada")</f>
        <v>Entregada</v>
      </c>
      <c r="L751" s="20">
        <f>IFERROR(__xludf.DUMMYFUNCTION("""COMPUTED_VALUE"""),44778.0)</f>
        <v>44778</v>
      </c>
      <c r="M751" s="19" t="str">
        <f>IFERROR(__xludf.DUMMYFUNCTION("""COMPUTED_VALUE"""),"PCM_4")</f>
        <v>PCM_4</v>
      </c>
      <c r="N751" s="19" t="str">
        <f>IFERROR(__xludf.DUMMYFUNCTION("""COMPUTED_VALUE"""),"PRIORIDAD 3 Q1 2024 MARZO")</f>
        <v>PRIORIDAD 3 Q1 2024 MARZO</v>
      </c>
    </row>
    <row r="752" ht="15.75" customHeight="1">
      <c r="A752" s="19" t="str">
        <f>IFERROR(__xludf.DUMMYFUNCTION("""COMPUTED_VALUE"""),"AB_1413")</f>
        <v>AB_1413</v>
      </c>
      <c r="B752" s="19" t="str">
        <f>IFERROR(__xludf.DUMMYFUNCTION("""COMPUTED_VALUE"""),"AB_1413_F")</f>
        <v>AB_1413_F</v>
      </c>
      <c r="C752" s="19" t="str">
        <f>IFERROR(__xludf.DUMMYFUNCTION("""COMPUTED_VALUE"""),"OH1413")</f>
        <v>OH1413</v>
      </c>
      <c r="D752" s="19" t="str">
        <f>IFERROR(__xludf.DUMMYFUNCTION("""COMPUTED_VALUE"""),"Pucudegua Cerro")</f>
        <v>Pucudegua Cerro</v>
      </c>
      <c r="E752" s="19" t="str">
        <f>IFERROR(__xludf.DUMMYFUNCTION("""COMPUTED_VALUE"""),"EN VALIDACION COMPRAS")</f>
        <v>EN VALIDACION COMPRAS</v>
      </c>
      <c r="F752" s="19" t="str">
        <f>IFERROR(__xludf.DUMMYFUNCTION("""COMPUTED_VALUE"""),"VISITA")</f>
        <v>VISITA</v>
      </c>
      <c r="G752" s="19" t="str">
        <f>IFERROR(__xludf.DUMMYFUNCTION("""COMPUTED_VALUE"""),"CV60")</f>
        <v>CV60</v>
      </c>
      <c r="H752" s="19" t="str">
        <f>IFERROR(__xludf.DUMMYFUNCTION("""COMPUTED_VALUE"""),"DEITEL")</f>
        <v>DEITEL</v>
      </c>
      <c r="I752" s="19" t="str">
        <f>IFERROR(__xludf.DUMMYFUNCTION("""COMPUTED_VALUE"""),"Terminada")</f>
        <v>Terminada</v>
      </c>
      <c r="J752" s="20">
        <f>IFERROR(__xludf.DUMMYFUNCTION("""COMPUTED_VALUE"""),44750.0)</f>
        <v>44750</v>
      </c>
      <c r="K752" s="19" t="str">
        <f>IFERROR(__xludf.DUMMYFUNCTION("""COMPUTED_VALUE"""),"Terminada")</f>
        <v>Terminada</v>
      </c>
      <c r="L752" s="20">
        <f>IFERROR(__xludf.DUMMYFUNCTION("""COMPUTED_VALUE"""),44782.0)</f>
        <v>44782</v>
      </c>
      <c r="M752" s="19" t="str">
        <f>IFERROR(__xludf.DUMMYFUNCTION("""COMPUTED_VALUE"""),"PCM")</f>
        <v>PCM</v>
      </c>
      <c r="N752" s="19" t="str">
        <f>IFERROR(__xludf.DUMMYFUNCTION("""COMPUTED_VALUE"""),"PRIORIDAD 1 Q3 2023 OCTUBRE")</f>
        <v>PRIORIDAD 1 Q3 2023 OCTUBRE</v>
      </c>
    </row>
    <row r="753" ht="15.75" customHeight="1">
      <c r="A753" s="19" t="str">
        <f>IFERROR(__xludf.DUMMYFUNCTION("""COMPUTED_VALUE"""),"AB_1512")</f>
        <v>AB_1512</v>
      </c>
      <c r="B753" s="19" t="str">
        <f>IFERROR(__xludf.DUMMYFUNCTION("""COMPUTED_VALUE"""),"AB_1512_A")</f>
        <v>AB_1512_A</v>
      </c>
      <c r="C753" s="19" t="str">
        <f>IFERROR(__xludf.DUMMYFUNCTION("""COMPUTED_VALUE"""),"OH1512")</f>
        <v>OH1512</v>
      </c>
      <c r="D753" s="19" t="str">
        <f>IFERROR(__xludf.DUMMYFUNCTION("""COMPUTED_VALUE"""),"El Teniente - Ruta del Acido")</f>
        <v>El Teniente - Ruta del Acido</v>
      </c>
      <c r="E753" s="19" t="str">
        <f>IFERROR(__xludf.DUMMYFUNCTION("""COMPUTED_VALUE"""),"SITIO RFI")</f>
        <v>SITIO RFI</v>
      </c>
      <c r="F753" s="19" t="str">
        <f>IFERROR(__xludf.DUMMYFUNCTION("""COMPUTED_VALUE"""),"MONTAJE")</f>
        <v>MONTAJE</v>
      </c>
      <c r="G753" s="19" t="str">
        <f>IFERROR(__xludf.DUMMYFUNCTION("""COMPUTED_VALUE"""),"CV42")</f>
        <v>CV42</v>
      </c>
      <c r="H753" s="19" t="str">
        <f>IFERROR(__xludf.DUMMYFUNCTION("""COMPUTED_VALUE"""),"SYC")</f>
        <v>SYC</v>
      </c>
      <c r="I753" s="19" t="str">
        <f>IFERROR(__xludf.DUMMYFUNCTION("""COMPUTED_VALUE"""),"Entregada")</f>
        <v>Entregada</v>
      </c>
      <c r="J753" s="20">
        <f>IFERROR(__xludf.DUMMYFUNCTION("""COMPUTED_VALUE"""),44862.0)</f>
        <v>44862</v>
      </c>
      <c r="K753" s="19" t="str">
        <f>IFERROR(__xludf.DUMMYFUNCTION("""COMPUTED_VALUE"""),"Entregada")</f>
        <v>Entregada</v>
      </c>
      <c r="L753" s="20">
        <f>IFERROR(__xludf.DUMMYFUNCTION("""COMPUTED_VALUE"""),44869.0)</f>
        <v>44869</v>
      </c>
      <c r="M753" s="19" t="str">
        <f>IFERROR(__xludf.DUMMYFUNCTION("""COMPUTED_VALUE"""),"PCM")</f>
        <v>PCM</v>
      </c>
      <c r="N753" s="19" t="str">
        <f>IFERROR(__xludf.DUMMYFUNCTION("""COMPUTED_VALUE"""),"PRIORIDAD 1 Q3 2023 OCTUBRE")</f>
        <v>PRIORIDAD 1 Q3 2023 OCTUBRE</v>
      </c>
    </row>
    <row r="754" ht="15.75" customHeight="1">
      <c r="A754" s="19" t="str">
        <f>IFERROR(__xludf.DUMMYFUNCTION("""COMPUTED_VALUE"""),"AB_2680")</f>
        <v>AB_2680</v>
      </c>
      <c r="B754" s="19" t="str">
        <f>IFERROR(__xludf.DUMMYFUNCTION("""COMPUTED_VALUE"""),"AB_2680_J")</f>
        <v>AB_2680_J</v>
      </c>
      <c r="C754" s="19" t="str">
        <f>IFERROR(__xludf.DUMMYFUNCTION("""COMPUTED_VALUE"""),"OH2680")</f>
        <v>OH2680</v>
      </c>
      <c r="D754" s="19" t="str">
        <f>IFERROR(__xludf.DUMMYFUNCTION("""COMPUTED_VALUE"""),"Olivar Bajo")</f>
        <v>Olivar Bajo</v>
      </c>
      <c r="E754" s="19" t="str">
        <f>IFERROR(__xludf.DUMMYFUNCTION("""COMPUTED_VALUE"""),"SITIO RFI")</f>
        <v>SITIO RFI</v>
      </c>
      <c r="F754" s="19" t="str">
        <f>IFERROR(__xludf.DUMMYFUNCTION("""COMPUTED_VALUE"""),"RFI")</f>
        <v>RFI</v>
      </c>
      <c r="G754" s="19" t="str">
        <f>IFERROR(__xludf.DUMMYFUNCTION("""COMPUTED_VALUE"""),"AS60")</f>
        <v>AS60</v>
      </c>
      <c r="H754" s="19" t="str">
        <f>IFERROR(__xludf.DUMMYFUNCTION("""COMPUTED_VALUE"""),"DEITEL")</f>
        <v>DEITEL</v>
      </c>
      <c r="I754" s="19" t="str">
        <f>IFERROR(__xludf.DUMMYFUNCTION("""COMPUTED_VALUE"""),"Entregada")</f>
        <v>Entregada</v>
      </c>
      <c r="J754" s="20">
        <f>IFERROR(__xludf.DUMMYFUNCTION("""COMPUTED_VALUE"""),44672.0)</f>
        <v>44672</v>
      </c>
      <c r="K754" s="19" t="str">
        <f>IFERROR(__xludf.DUMMYFUNCTION("""COMPUTED_VALUE"""),"Entregada")</f>
        <v>Entregada</v>
      </c>
      <c r="L754" s="20">
        <f>IFERROR(__xludf.DUMMYFUNCTION("""COMPUTED_VALUE"""),44720.0)</f>
        <v>44720</v>
      </c>
      <c r="M754" s="19" t="str">
        <f>IFERROR(__xludf.DUMMYFUNCTION("""COMPUTED_VALUE"""),"PCM")</f>
        <v>PCM</v>
      </c>
      <c r="N754" s="19" t="str">
        <f>IFERROR(__xludf.DUMMYFUNCTION("""COMPUTED_VALUE"""),"PRIORIDAD 1 Q3 2023 OCTUBRE")</f>
        <v>PRIORIDAD 1 Q3 2023 OCTUBRE</v>
      </c>
    </row>
    <row r="755" ht="15.75" customHeight="1">
      <c r="A755" s="19" t="str">
        <f>IFERROR(__xludf.DUMMYFUNCTION("""COMPUTED_VALUE"""),"AB_2735")</f>
        <v>AB_2735</v>
      </c>
      <c r="B755" s="19" t="str">
        <f>IFERROR(__xludf.DUMMYFUNCTION("""COMPUTED_VALUE"""),"AB_2735_D")</f>
        <v>AB_2735_D</v>
      </c>
      <c r="C755" s="19" t="str">
        <f>IFERROR(__xludf.DUMMYFUNCTION("""COMPUTED_VALUE"""),"OH2735")</f>
        <v>OH2735</v>
      </c>
      <c r="D755" s="19" t="str">
        <f>IFERROR(__xludf.DUMMYFUNCTION("""COMPUTED_VALUE"""),"Angostura de Paine")</f>
        <v>Angostura de Paine</v>
      </c>
      <c r="E755" s="19" t="str">
        <f>IFERROR(__xludf.DUMMYFUNCTION("""COMPUTED_VALUE"""),"SITIO RFI")</f>
        <v>SITIO RFI</v>
      </c>
      <c r="F755" s="19" t="str">
        <f>IFERROR(__xludf.DUMMYFUNCTION("""COMPUTED_VALUE"""),"RFI")</f>
        <v>RFI</v>
      </c>
      <c r="G755" s="19" t="str">
        <f>IFERROR(__xludf.DUMMYFUNCTION("""COMPUTED_VALUE"""),"AS36")</f>
        <v>AS36</v>
      </c>
      <c r="H755" s="19" t="str">
        <f>IFERROR(__xludf.DUMMYFUNCTION("""COMPUTED_VALUE"""),"MARJOS")</f>
        <v>MARJOS</v>
      </c>
      <c r="I755" s="19" t="str">
        <f>IFERROR(__xludf.DUMMYFUNCTION("""COMPUTED_VALUE"""),"Entregada")</f>
        <v>Entregada</v>
      </c>
      <c r="J755" s="20">
        <f>IFERROR(__xludf.DUMMYFUNCTION("""COMPUTED_VALUE"""),44636.0)</f>
        <v>44636</v>
      </c>
      <c r="K755" s="19" t="str">
        <f>IFERROR(__xludf.DUMMYFUNCTION("""COMPUTED_VALUE"""),"Entregada")</f>
        <v>Entregada</v>
      </c>
      <c r="L755" s="20">
        <f>IFERROR(__xludf.DUMMYFUNCTION("""COMPUTED_VALUE"""),44645.0)</f>
        <v>44645</v>
      </c>
      <c r="M755" s="19" t="str">
        <f>IFERROR(__xludf.DUMMYFUNCTION("""COMPUTED_VALUE"""),"PCM")</f>
        <v>PCM</v>
      </c>
      <c r="N755" s="19" t="str">
        <f>IFERROR(__xludf.DUMMYFUNCTION("""COMPUTED_VALUE"""),"PRIORIDAD 1 Q3 2023 OCTUBRE")</f>
        <v>PRIORIDAD 1 Q3 2023 OCTUBRE</v>
      </c>
    </row>
    <row r="756" ht="15.75" customHeight="1">
      <c r="A756" s="19" t="str">
        <f>IFERROR(__xludf.DUMMYFUNCTION("""COMPUTED_VALUE"""),"AB_3068")</f>
        <v>AB_3068</v>
      </c>
      <c r="B756" s="19" t="str">
        <f>IFERROR(__xludf.DUMMYFUNCTION("""COMPUTED_VALUE"""),"AB_3068_D")</f>
        <v>AB_3068_D</v>
      </c>
      <c r="C756" s="19" t="str">
        <f>IFERROR(__xludf.DUMMYFUNCTION("""COMPUTED_VALUE"""),"OH3068")</f>
        <v>OH3068</v>
      </c>
      <c r="D756" s="19" t="str">
        <f>IFERROR(__xludf.DUMMYFUNCTION("""COMPUTED_VALUE"""),"Punta de Cortes")</f>
        <v>Punta de Cortes</v>
      </c>
      <c r="E756" s="19" t="str">
        <f>IFERROR(__xludf.DUMMYFUNCTION("""COMPUTED_VALUE"""),"SITIO RFI")</f>
        <v>SITIO RFI</v>
      </c>
      <c r="F756" s="19" t="str">
        <f>IFERROR(__xludf.DUMMYFUNCTION("""COMPUTED_VALUE"""),"RFI")</f>
        <v>RFI</v>
      </c>
      <c r="G756" s="19" t="str">
        <f>IFERROR(__xludf.DUMMYFUNCTION("""COMPUTED_VALUE"""),"CV36")</f>
        <v>CV36</v>
      </c>
      <c r="H756" s="19" t="str">
        <f>IFERROR(__xludf.DUMMYFUNCTION("""COMPUTED_VALUE"""),"ADM")</f>
        <v>ADM</v>
      </c>
      <c r="I756" s="19" t="str">
        <f>IFERROR(__xludf.DUMMYFUNCTION("""COMPUTED_VALUE"""),"Entregada")</f>
        <v>Entregada</v>
      </c>
      <c r="J756" s="20">
        <f>IFERROR(__xludf.DUMMYFUNCTION("""COMPUTED_VALUE"""),44808.0)</f>
        <v>44808</v>
      </c>
      <c r="K756" s="19" t="str">
        <f>IFERROR(__xludf.DUMMYFUNCTION("""COMPUTED_VALUE"""),"Entregada")</f>
        <v>Entregada</v>
      </c>
      <c r="L756" s="20">
        <f>IFERROR(__xludf.DUMMYFUNCTION("""COMPUTED_VALUE"""),44838.0)</f>
        <v>44838</v>
      </c>
      <c r="M756" s="19" t="str">
        <f>IFERROR(__xludf.DUMMYFUNCTION("""COMPUTED_VALUE"""),"PCM")</f>
        <v>PCM</v>
      </c>
      <c r="N756" s="19" t="str">
        <f>IFERROR(__xludf.DUMMYFUNCTION("""COMPUTED_VALUE"""),"PRIORIDAD 1 Q3 2023 OCTUBRE")</f>
        <v>PRIORIDAD 1 Q3 2023 OCTUBRE</v>
      </c>
    </row>
    <row r="757" ht="15.75" customHeight="1">
      <c r="A757" s="19" t="str">
        <f>IFERROR(__xludf.DUMMYFUNCTION("""COMPUTED_VALUE"""),"AB_3568")</f>
        <v>AB_3568</v>
      </c>
      <c r="B757" s="19" t="str">
        <f>IFERROR(__xludf.DUMMYFUNCTION("""COMPUTED_VALUE"""),"AB_3568_D")</f>
        <v>AB_3568_D</v>
      </c>
      <c r="C757" s="19" t="str">
        <f>IFERROR(__xludf.DUMMYFUNCTION("""COMPUTED_VALUE"""),"OH3568")</f>
        <v>OH3568</v>
      </c>
      <c r="D757" s="19" t="str">
        <f>IFERROR(__xludf.DUMMYFUNCTION("""COMPUTED_VALUE"""),"Las Cabras Bajas")</f>
        <v>Las Cabras Bajas</v>
      </c>
      <c r="E757" s="19" t="str">
        <f>IFERROR(__xludf.DUMMYFUNCTION("""COMPUTED_VALUE"""),"SITIO RFI")</f>
        <v>SITIO RFI</v>
      </c>
      <c r="F757" s="19" t="str">
        <f>IFERROR(__xludf.DUMMYFUNCTION("""COMPUTED_VALUE"""),"MONTAJE")</f>
        <v>MONTAJE</v>
      </c>
      <c r="G757" s="19" t="str">
        <f>IFERROR(__xludf.DUMMYFUNCTION("""COMPUTED_VALUE"""),"CV42")</f>
        <v>CV42</v>
      </c>
      <c r="H757" s="19" t="str">
        <f>IFERROR(__xludf.DUMMYFUNCTION("""COMPUTED_VALUE"""),"INGENIUS")</f>
        <v>INGENIUS</v>
      </c>
      <c r="I757" s="19" t="str">
        <f>IFERROR(__xludf.DUMMYFUNCTION("""COMPUTED_VALUE"""),"Entregada")</f>
        <v>Entregada</v>
      </c>
      <c r="J757" s="20">
        <f>IFERROR(__xludf.DUMMYFUNCTION("""COMPUTED_VALUE"""),45042.0)</f>
        <v>45042</v>
      </c>
      <c r="K757" s="19" t="str">
        <f>IFERROR(__xludf.DUMMYFUNCTION("""COMPUTED_VALUE"""),"Entregada")</f>
        <v>Entregada</v>
      </c>
      <c r="L757" s="20">
        <f>IFERROR(__xludf.DUMMYFUNCTION("""COMPUTED_VALUE"""),45124.0)</f>
        <v>45124</v>
      </c>
      <c r="M757" s="19" t="str">
        <f>IFERROR(__xludf.DUMMYFUNCTION("""COMPUTED_VALUE"""),"PP")</f>
        <v>PP</v>
      </c>
      <c r="N757" s="19" t="str">
        <f>IFERROR(__xludf.DUMMYFUNCTION("""COMPUTED_VALUE"""),"PRIORIDAD 1 Q3 2023 OCTUBRE")</f>
        <v>PRIORIDAD 1 Q3 2023 OCTUBRE</v>
      </c>
    </row>
    <row r="758" ht="15.75" customHeight="1">
      <c r="A758" s="19" t="str">
        <f>IFERROR(__xludf.DUMMYFUNCTION("""COMPUTED_VALUE"""),"AB_3999")</f>
        <v>AB_3999</v>
      </c>
      <c r="B758" s="19" t="str">
        <f>IFERROR(__xludf.DUMMYFUNCTION("""COMPUTED_VALUE"""),"AB_3999_C")</f>
        <v>AB_3999_C</v>
      </c>
      <c r="C758" s="19" t="str">
        <f>IFERROR(__xludf.DUMMYFUNCTION("""COMPUTED_VALUE"""),"OH3999")</f>
        <v>OH3999</v>
      </c>
      <c r="D758" s="19" t="str">
        <f>IFERROR(__xludf.DUMMYFUNCTION("""COMPUTED_VALUE"""),"Loreto Coltauco")</f>
        <v>Loreto Coltauco</v>
      </c>
      <c r="E758" s="19" t="str">
        <f>IFERROR(__xludf.DUMMYFUNCTION("""COMPUTED_VALUE"""),"SITIO RFI")</f>
        <v>SITIO RFI</v>
      </c>
      <c r="F758" s="19" t="str">
        <f>IFERROR(__xludf.DUMMYFUNCTION("""COMPUTED_VALUE"""),"RFI")</f>
        <v>RFI</v>
      </c>
      <c r="G758" s="19" t="str">
        <f>IFERROR(__xludf.DUMMYFUNCTION("""COMPUTED_VALUE"""),"AS48")</f>
        <v>AS48</v>
      </c>
      <c r="H758" s="19" t="str">
        <f>IFERROR(__xludf.DUMMYFUNCTION("""COMPUTED_VALUE"""),"AJ")</f>
        <v>AJ</v>
      </c>
      <c r="I758" s="19" t="str">
        <f>IFERROR(__xludf.DUMMYFUNCTION("""COMPUTED_VALUE"""),"Entregada")</f>
        <v>Entregada</v>
      </c>
      <c r="J758" s="20">
        <f>IFERROR(__xludf.DUMMYFUNCTION("""COMPUTED_VALUE"""),44361.0)</f>
        <v>44361</v>
      </c>
      <c r="K758" s="19" t="str">
        <f>IFERROR(__xludf.DUMMYFUNCTION("""COMPUTED_VALUE"""),"Entregada")</f>
        <v>Entregada</v>
      </c>
      <c r="L758" s="20">
        <f>IFERROR(__xludf.DUMMYFUNCTION("""COMPUTED_VALUE"""),44361.0)</f>
        <v>44361</v>
      </c>
      <c r="M758" s="19" t="str">
        <f>IFERROR(__xludf.DUMMYFUNCTION("""COMPUTED_VALUE"""),"PCM")</f>
        <v>PCM</v>
      </c>
      <c r="N758" s="19" t="str">
        <f>IFERROR(__xludf.DUMMYFUNCTION("""COMPUTED_VALUE"""),"PRIORIDAD 1 Q3 2023 OCTUBRE")</f>
        <v>PRIORIDAD 1 Q3 2023 OCTUBRE</v>
      </c>
    </row>
    <row r="759" ht="15.75" customHeight="1">
      <c r="A759" s="19" t="str">
        <f>IFERROR(__xludf.DUMMYFUNCTION("""COMPUTED_VALUE"""),"AB_4690")</f>
        <v>AB_4690</v>
      </c>
      <c r="B759" s="19" t="str">
        <f>IFERROR(__xludf.DUMMYFUNCTION("""COMPUTED_VALUE"""),"AB_4690_B")</f>
        <v>AB_4690_B</v>
      </c>
      <c r="C759" s="19" t="str">
        <f>IFERROR(__xludf.DUMMYFUNCTION("""COMPUTED_VALUE"""),"OH4690")</f>
        <v>OH4690</v>
      </c>
      <c r="D759" s="19" t="str">
        <f>IFERROR(__xludf.DUMMYFUNCTION("""COMPUTED_VALUE"""),"Pumanque Pueblo")</f>
        <v>Pumanque Pueblo</v>
      </c>
      <c r="E759" s="19" t="str">
        <f>IFERROR(__xludf.DUMMYFUNCTION("""COMPUTED_VALUE"""),"SITIO RFI")</f>
        <v>SITIO RFI</v>
      </c>
      <c r="F759" s="19" t="str">
        <f>IFERROR(__xludf.DUMMYFUNCTION("""COMPUTED_VALUE"""),"RFI")</f>
        <v>RFI</v>
      </c>
      <c r="G759" s="19" t="str">
        <f>IFERROR(__xludf.DUMMYFUNCTION("""COMPUTED_VALUE"""),"AS54")</f>
        <v>AS54</v>
      </c>
      <c r="H759" s="19" t="str">
        <f>IFERROR(__xludf.DUMMYFUNCTION("""COMPUTED_VALUE"""),"AJ")</f>
        <v>AJ</v>
      </c>
      <c r="I759" s="19" t="str">
        <f>IFERROR(__xludf.DUMMYFUNCTION("""COMPUTED_VALUE"""),"Entregada")</f>
        <v>Entregada</v>
      </c>
      <c r="J759" s="20">
        <f>IFERROR(__xludf.DUMMYFUNCTION("""COMPUTED_VALUE"""),44697.0)</f>
        <v>44697</v>
      </c>
      <c r="K759" s="19" t="str">
        <f>IFERROR(__xludf.DUMMYFUNCTION("""COMPUTED_VALUE"""),"Entregada")</f>
        <v>Entregada</v>
      </c>
      <c r="L759" s="20">
        <f>IFERROR(__xludf.DUMMYFUNCTION("""COMPUTED_VALUE"""),44757.0)</f>
        <v>44757</v>
      </c>
      <c r="M759" s="19" t="str">
        <f>IFERROR(__xludf.DUMMYFUNCTION("""COMPUTED_VALUE"""),"PCM")</f>
        <v>PCM</v>
      </c>
      <c r="N759" s="19" t="str">
        <f>IFERROR(__xludf.DUMMYFUNCTION("""COMPUTED_VALUE"""),"PRIORIDAD 1 Q3 2023 OCTUBRE")</f>
        <v>PRIORIDAD 1 Q3 2023 OCTUBRE</v>
      </c>
    </row>
    <row r="760" ht="15.75" customHeight="1">
      <c r="A760" s="19" t="str">
        <f>IFERROR(__xludf.DUMMYFUNCTION("""COMPUTED_VALUE"""),"AB_5677")</f>
        <v>AB_5677</v>
      </c>
      <c r="B760" s="19" t="str">
        <f>IFERROR(__xludf.DUMMYFUNCTION("""COMPUTED_VALUE"""),"AB_5677_G")</f>
        <v>AB_5677_G</v>
      </c>
      <c r="C760" s="19" t="str">
        <f>IFERROR(__xludf.DUMMYFUNCTION("""COMPUTED_VALUE"""),"OH5677")</f>
        <v>OH5677</v>
      </c>
      <c r="D760" s="19" t="str">
        <f>IFERROR(__xludf.DUMMYFUNCTION("""COMPUTED_VALUE"""),"Auquinco")</f>
        <v>Auquinco</v>
      </c>
      <c r="E760" s="19" t="str">
        <f>IFERROR(__xludf.DUMMYFUNCTION("""COMPUTED_VALUE"""),"SITIO RFI")</f>
        <v>SITIO RFI</v>
      </c>
      <c r="F760" s="19" t="str">
        <f>IFERROR(__xludf.DUMMYFUNCTION("""COMPUTED_VALUE"""),"RFI")</f>
        <v>RFI</v>
      </c>
      <c r="G760" s="19" t="str">
        <f>IFERROR(__xludf.DUMMYFUNCTION("""COMPUTED_VALUE"""),"AS60")</f>
        <v>AS60</v>
      </c>
      <c r="H760" s="19" t="str">
        <f>IFERROR(__xludf.DUMMYFUNCTION("""COMPUTED_VALUE"""),"DEITEL")</f>
        <v>DEITEL</v>
      </c>
      <c r="I760" s="19" t="str">
        <f>IFERROR(__xludf.DUMMYFUNCTION("""COMPUTED_VALUE"""),"Entregada")</f>
        <v>Entregada</v>
      </c>
      <c r="J760" s="20">
        <f>IFERROR(__xludf.DUMMYFUNCTION("""COMPUTED_VALUE"""),44720.0)</f>
        <v>44720</v>
      </c>
      <c r="K760" s="19" t="str">
        <f>IFERROR(__xludf.DUMMYFUNCTION("""COMPUTED_VALUE"""),"Entregada")</f>
        <v>Entregada</v>
      </c>
      <c r="L760" s="20">
        <f>IFERROR(__xludf.DUMMYFUNCTION("""COMPUTED_VALUE"""),44771.0)</f>
        <v>44771</v>
      </c>
      <c r="M760" s="19" t="str">
        <f>IFERROR(__xludf.DUMMYFUNCTION("""COMPUTED_VALUE"""),"PCM")</f>
        <v>PCM</v>
      </c>
      <c r="N760" s="19" t="str">
        <f>IFERROR(__xludf.DUMMYFUNCTION("""COMPUTED_VALUE"""),"PRIORIDAD 1 Q3 2023 OCTUBRE")</f>
        <v>PRIORIDAD 1 Q3 2023 OCTUBRE</v>
      </c>
    </row>
    <row r="761" ht="15.75" customHeight="1">
      <c r="A761" s="19" t="str">
        <f>IFERROR(__xludf.DUMMYFUNCTION("""COMPUTED_VALUE"""),"AB_5721")</f>
        <v>AB_5721</v>
      </c>
      <c r="B761" s="19" t="str">
        <f>IFERROR(__xludf.DUMMYFUNCTION("""COMPUTED_VALUE"""),"AB_5721_E")</f>
        <v>AB_5721_E</v>
      </c>
      <c r="C761" s="19" t="str">
        <f>IFERROR(__xludf.DUMMYFUNCTION("""COMPUTED_VALUE"""),"OH5721")</f>
        <v>OH5721</v>
      </c>
      <c r="D761" s="19" t="str">
        <f>IFERROR(__xludf.DUMMYFUNCTION("""COMPUTED_VALUE"""),"Ruta Machali Los Maitenes RU")</f>
        <v>Ruta Machali Los Maitenes RU</v>
      </c>
      <c r="E761" s="19" t="str">
        <f>IFERROR(__xludf.DUMMYFUNCTION("""COMPUTED_VALUE"""),"SITIO RFI")</f>
        <v>SITIO RFI</v>
      </c>
      <c r="F761" s="19" t="str">
        <f>IFERROR(__xludf.DUMMYFUNCTION("""COMPUTED_VALUE"""),"RFI")</f>
        <v>RFI</v>
      </c>
      <c r="G761" s="19" t="str">
        <f>IFERROR(__xludf.DUMMYFUNCTION("""COMPUTED_VALUE"""),"MP R24")</f>
        <v>MP R24</v>
      </c>
      <c r="H761" s="19" t="str">
        <f>IFERROR(__xludf.DUMMYFUNCTION("""COMPUTED_VALUE"""),"MER")</f>
        <v>MER</v>
      </c>
      <c r="I761" s="19" t="str">
        <f>IFERROR(__xludf.DUMMYFUNCTION("""COMPUTED_VALUE"""),"Entregada")</f>
        <v>Entregada</v>
      </c>
      <c r="J761" s="20">
        <f>IFERROR(__xludf.DUMMYFUNCTION("""COMPUTED_VALUE"""),44771.0)</f>
        <v>44771</v>
      </c>
      <c r="K761" s="19" t="str">
        <f>IFERROR(__xludf.DUMMYFUNCTION("""COMPUTED_VALUE"""),"Entregada")</f>
        <v>Entregada</v>
      </c>
      <c r="L761" s="20">
        <f>IFERROR(__xludf.DUMMYFUNCTION("""COMPUTED_VALUE"""),44798.0)</f>
        <v>44798</v>
      </c>
      <c r="M761" s="19" t="str">
        <f>IFERROR(__xludf.DUMMYFUNCTION("""COMPUTED_VALUE"""),"PCM")</f>
        <v>PCM</v>
      </c>
      <c r="N761" s="19" t="str">
        <f>IFERROR(__xludf.DUMMYFUNCTION("""COMPUTED_VALUE"""),"PRIORIDAD 1 Q3 2023 OCTUBRE")</f>
        <v>PRIORIDAD 1 Q3 2023 OCTUBRE</v>
      </c>
    </row>
    <row r="762" ht="15.75" customHeight="1">
      <c r="A762" s="19" t="str">
        <f>IFERROR(__xludf.DUMMYFUNCTION("""COMPUTED_VALUE"""),"AB_9714")</f>
        <v>AB_9714</v>
      </c>
      <c r="B762" s="19" t="str">
        <f>IFERROR(__xludf.DUMMYFUNCTION("""COMPUTED_VALUE"""),"AB_9714_D")</f>
        <v>AB_9714_D</v>
      </c>
      <c r="C762" s="19" t="str">
        <f>IFERROR(__xludf.DUMMYFUNCTION("""COMPUTED_VALUE"""),"NU9714")</f>
        <v>NU9714</v>
      </c>
      <c r="D762" s="19" t="str">
        <f>IFERROR(__xludf.DUMMYFUNCTION("""COMPUTED_VALUE"""),"Mata Redonda")</f>
        <v>Mata Redonda</v>
      </c>
      <c r="E762" s="19" t="str">
        <f>IFERROR(__xludf.DUMMYFUNCTION("""COMPUTED_VALUE"""),"SITIO CONSTRUIDO")</f>
        <v>SITIO CONSTRUIDO</v>
      </c>
      <c r="F762" s="19" t="str">
        <f>IFERROR(__xludf.DUMMYFUNCTION("""COMPUTED_VALUE"""),"MONTAJE")</f>
        <v>MONTAJE</v>
      </c>
      <c r="G762" s="19" t="str">
        <f>IFERROR(__xludf.DUMMYFUNCTION("""COMPUTED_VALUE"""),"AS60")</f>
        <v>AS60</v>
      </c>
      <c r="H762" s="19" t="str">
        <f>IFERROR(__xludf.DUMMYFUNCTION("""COMPUTED_VALUE"""),"MER")</f>
        <v>MER</v>
      </c>
      <c r="I762" s="19" t="str">
        <f>IFERROR(__xludf.DUMMYFUNCTION("""COMPUTED_VALUE"""),"Entregada")</f>
        <v>Entregada</v>
      </c>
      <c r="J762" s="20">
        <f>IFERROR(__xludf.DUMMYFUNCTION("""COMPUTED_VALUE"""),44881.0)</f>
        <v>44881</v>
      </c>
      <c r="K762" s="19" t="str">
        <f>IFERROR(__xludf.DUMMYFUNCTION("""COMPUTED_VALUE"""),"Entregada")</f>
        <v>Entregada</v>
      </c>
      <c r="L762" s="20">
        <f>IFERROR(__xludf.DUMMYFUNCTION("""COMPUTED_VALUE"""),44897.0)</f>
        <v>44897</v>
      </c>
      <c r="M762" s="19" t="str">
        <f>IFERROR(__xludf.DUMMYFUNCTION("""COMPUTED_VALUE"""),"LLOO")</f>
        <v>LLOO</v>
      </c>
      <c r="N762" s="19" t="str">
        <f>IFERROR(__xludf.DUMMYFUNCTION("""COMPUTED_VALUE"""),"PRIORIDAD 1 Q3 2023 OCTUBRE")</f>
        <v>PRIORIDAD 1 Q3 2023 OCTUBRE</v>
      </c>
    </row>
    <row r="763" ht="15.75" customHeight="1">
      <c r="A763" s="19" t="str">
        <f>IFERROR(__xludf.DUMMYFUNCTION("""COMPUTED_VALUE"""),"AB_6146")</f>
        <v>AB_6146</v>
      </c>
      <c r="B763" s="19" t="str">
        <f>IFERROR(__xludf.DUMMYFUNCTION("""COMPUTED_VALUE"""),"AB_6146_B")</f>
        <v>AB_6146_B</v>
      </c>
      <c r="C763" s="19" t="str">
        <f>IFERROR(__xludf.DUMMYFUNCTION("""COMPUTED_VALUE"""),"OH6146")</f>
        <v>OH6146</v>
      </c>
      <c r="D763" s="19" t="str">
        <f>IFERROR(__xludf.DUMMYFUNCTION("""COMPUTED_VALUE"""),"Tuniche")</f>
        <v>Tuniche</v>
      </c>
      <c r="E763" s="19" t="str">
        <f>IFERROR(__xludf.DUMMYFUNCTION("""COMPUTED_VALUE"""),"SITIO RFI")</f>
        <v>SITIO RFI</v>
      </c>
      <c r="F763" s="19" t="str">
        <f>IFERROR(__xludf.DUMMYFUNCTION("""COMPUTED_VALUE"""),"RFI")</f>
        <v>RFI</v>
      </c>
      <c r="G763" s="19" t="str">
        <f>IFERROR(__xludf.DUMMYFUNCTION("""COMPUTED_VALUE"""),"AS30")</f>
        <v>AS30</v>
      </c>
      <c r="H763" s="19" t="str">
        <f>IFERROR(__xludf.DUMMYFUNCTION("""COMPUTED_VALUE"""),"METALING")</f>
        <v>METALING</v>
      </c>
      <c r="I763" s="19" t="str">
        <f>IFERROR(__xludf.DUMMYFUNCTION("""COMPUTED_VALUE"""),"Entregada")</f>
        <v>Entregada</v>
      </c>
      <c r="J763" s="20">
        <f>IFERROR(__xludf.DUMMYFUNCTION("""COMPUTED_VALUE"""),44736.0)</f>
        <v>44736</v>
      </c>
      <c r="K763" s="19" t="str">
        <f>IFERROR(__xludf.DUMMYFUNCTION("""COMPUTED_VALUE"""),"Entregada")</f>
        <v>Entregada</v>
      </c>
      <c r="L763" s="20">
        <f>IFERROR(__xludf.DUMMYFUNCTION("""COMPUTED_VALUE"""),44743.0)</f>
        <v>44743</v>
      </c>
      <c r="M763" s="19" t="str">
        <f>IFERROR(__xludf.DUMMYFUNCTION("""COMPUTED_VALUE"""),"PCM")</f>
        <v>PCM</v>
      </c>
      <c r="N763" s="19" t="str">
        <f>IFERROR(__xludf.DUMMYFUNCTION("""COMPUTED_VALUE"""),"PRIORIDAD 1 Q3 2023 OCTUBRE")</f>
        <v>PRIORIDAD 1 Q3 2023 OCTUBRE</v>
      </c>
    </row>
    <row r="764" ht="15.75" customHeight="1">
      <c r="A764" s="19" t="str">
        <f>IFERROR(__xludf.DUMMYFUNCTION("""COMPUTED_VALUE"""),"AB_6239")</f>
        <v>AB_6239</v>
      </c>
      <c r="B764" s="19" t="str">
        <f>IFERROR(__xludf.DUMMYFUNCTION("""COMPUTED_VALUE"""),"AB_6239_B")</f>
        <v>AB_6239_B</v>
      </c>
      <c r="C764" s="19" t="str">
        <f>IFERROR(__xludf.DUMMYFUNCTION("""COMPUTED_VALUE"""),"OH6239")</f>
        <v>OH6239</v>
      </c>
      <c r="D764" s="19" t="str">
        <f>IFERROR(__xludf.DUMMYFUNCTION("""COMPUTED_VALUE"""),"Coltauco El Recreo")</f>
        <v>Coltauco El Recreo</v>
      </c>
      <c r="E764" s="19" t="str">
        <f>IFERROR(__xludf.DUMMYFUNCTION("""COMPUTED_VALUE"""),"SITIO RFI")</f>
        <v>SITIO RFI</v>
      </c>
      <c r="F764" s="19" t="str">
        <f>IFERROR(__xludf.DUMMYFUNCTION("""COMPUTED_VALUE"""),"RFI")</f>
        <v>RFI</v>
      </c>
      <c r="G764" s="19" t="str">
        <f>IFERROR(__xludf.DUMMYFUNCTION("""COMPUTED_VALUE"""),"AS54")</f>
        <v>AS54</v>
      </c>
      <c r="H764" s="19" t="str">
        <f>IFERROR(__xludf.DUMMYFUNCTION("""COMPUTED_VALUE"""),"AJ")</f>
        <v>AJ</v>
      </c>
      <c r="I764" s="19" t="str">
        <f>IFERROR(__xludf.DUMMYFUNCTION("""COMPUTED_VALUE"""),"Entregada")</f>
        <v>Entregada</v>
      </c>
      <c r="J764" s="20">
        <f>IFERROR(__xludf.DUMMYFUNCTION("""COMPUTED_VALUE"""),44697.0)</f>
        <v>44697</v>
      </c>
      <c r="K764" s="19" t="str">
        <f>IFERROR(__xludf.DUMMYFUNCTION("""COMPUTED_VALUE"""),"Entregada")</f>
        <v>Entregada</v>
      </c>
      <c r="L764" s="20">
        <f>IFERROR(__xludf.DUMMYFUNCTION("""COMPUTED_VALUE"""),44832.0)</f>
        <v>44832</v>
      </c>
      <c r="M764" s="19" t="str">
        <f>IFERROR(__xludf.DUMMYFUNCTION("""COMPUTED_VALUE"""),"PCM")</f>
        <v>PCM</v>
      </c>
      <c r="N764" s="19" t="str">
        <f>IFERROR(__xludf.DUMMYFUNCTION("""COMPUTED_VALUE"""),"PRIORIDAD 1 Q3 2023 OCTUBRE")</f>
        <v>PRIORIDAD 1 Q3 2023 OCTUBRE</v>
      </c>
    </row>
    <row r="765" ht="15.75" customHeight="1">
      <c r="A765" s="19" t="str">
        <f>IFERROR(__xludf.DUMMYFUNCTION("""COMPUTED_VALUE"""),"AB_6242")</f>
        <v>AB_6242</v>
      </c>
      <c r="B765" s="19" t="str">
        <f>IFERROR(__xludf.DUMMYFUNCTION("""COMPUTED_VALUE"""),"AB_6242_A")</f>
        <v>AB_6242_A</v>
      </c>
      <c r="C765" s="19" t="str">
        <f>IFERROR(__xludf.DUMMYFUNCTION("""COMPUTED_VALUE"""),"OH6242")</f>
        <v>OH6242</v>
      </c>
      <c r="D765" s="19" t="str">
        <f>IFERROR(__xludf.DUMMYFUNCTION("""COMPUTED_VALUE"""),"Doñihue Ruta")</f>
        <v>Doñihue Ruta</v>
      </c>
      <c r="E765" s="19" t="str">
        <f>IFERROR(__xludf.DUMMYFUNCTION("""COMPUTED_VALUE"""),"SITIO RFI")</f>
        <v>SITIO RFI</v>
      </c>
      <c r="F765" s="19" t="str">
        <f>IFERROR(__xludf.DUMMYFUNCTION("""COMPUTED_VALUE"""),"RFI")</f>
        <v>RFI</v>
      </c>
      <c r="G765" s="19" t="str">
        <f>IFERROR(__xludf.DUMMYFUNCTION("""COMPUTED_VALUE"""),"MP36")</f>
        <v>MP36</v>
      </c>
      <c r="H765" s="19" t="str">
        <f>IFERROR(__xludf.DUMMYFUNCTION("""COMPUTED_VALUE"""),"MER")</f>
        <v>MER</v>
      </c>
      <c r="I765" s="19" t="str">
        <f>IFERROR(__xludf.DUMMYFUNCTION("""COMPUTED_VALUE"""),"Entregada")</f>
        <v>Entregada</v>
      </c>
      <c r="J765" s="20">
        <f>IFERROR(__xludf.DUMMYFUNCTION("""COMPUTED_VALUE"""),44697.0)</f>
        <v>44697</v>
      </c>
      <c r="K765" s="19" t="str">
        <f>IFERROR(__xludf.DUMMYFUNCTION("""COMPUTED_VALUE"""),"Entregada")</f>
        <v>Entregada</v>
      </c>
      <c r="L765" s="20">
        <f>IFERROR(__xludf.DUMMYFUNCTION("""COMPUTED_VALUE"""),44729.0)</f>
        <v>44729</v>
      </c>
      <c r="M765" s="19" t="str">
        <f>IFERROR(__xludf.DUMMYFUNCTION("""COMPUTED_VALUE"""),"PCM")</f>
        <v>PCM</v>
      </c>
      <c r="N765" s="19" t="str">
        <f>IFERROR(__xludf.DUMMYFUNCTION("""COMPUTED_VALUE"""),"PRIORIDAD 1 Q3 2023 OCTUBRE")</f>
        <v>PRIORIDAD 1 Q3 2023 OCTUBRE</v>
      </c>
    </row>
    <row r="766" ht="15.75" customHeight="1">
      <c r="A766" s="19" t="str">
        <f>IFERROR(__xludf.DUMMYFUNCTION("""COMPUTED_VALUE"""),"AB_6254")</f>
        <v>AB_6254</v>
      </c>
      <c r="B766" s="19" t="str">
        <f>IFERROR(__xludf.DUMMYFUNCTION("""COMPUTED_VALUE"""),"AB_6254_C")</f>
        <v>AB_6254_C</v>
      </c>
      <c r="C766" s="19" t="str">
        <f>IFERROR(__xludf.DUMMYFUNCTION("""COMPUTED_VALUE"""),"OH6254")</f>
        <v>OH6254</v>
      </c>
      <c r="D766" s="19" t="str">
        <f>IFERROR(__xludf.DUMMYFUNCTION("""COMPUTED_VALUE"""),"Olivar Poniente")</f>
        <v>Olivar Poniente</v>
      </c>
      <c r="E766" s="19" t="str">
        <f>IFERROR(__xludf.DUMMYFUNCTION("""COMPUTED_VALUE"""),"SITIO RFI")</f>
        <v>SITIO RFI</v>
      </c>
      <c r="F766" s="19" t="str">
        <f>IFERROR(__xludf.DUMMYFUNCTION("""COMPUTED_VALUE"""),"RFI")</f>
        <v>RFI</v>
      </c>
      <c r="G766" s="19" t="str">
        <f>IFERROR(__xludf.DUMMYFUNCTION("""COMPUTED_VALUE"""),"MP42")</f>
        <v>MP42</v>
      </c>
      <c r="H766" s="19" t="str">
        <f>IFERROR(__xludf.DUMMYFUNCTION("""COMPUTED_VALUE"""),"MT")</f>
        <v>MT</v>
      </c>
      <c r="I766" s="19" t="str">
        <f>IFERROR(__xludf.DUMMYFUNCTION("""COMPUTED_VALUE"""),"Entregada")</f>
        <v>Entregada</v>
      </c>
      <c r="J766" s="20">
        <f>IFERROR(__xludf.DUMMYFUNCTION("""COMPUTED_VALUE"""),44671.0)</f>
        <v>44671</v>
      </c>
      <c r="K766" s="19" t="str">
        <f>IFERROR(__xludf.DUMMYFUNCTION("""COMPUTED_VALUE"""),"Entregada")</f>
        <v>Entregada</v>
      </c>
      <c r="L766" s="20">
        <f>IFERROR(__xludf.DUMMYFUNCTION("""COMPUTED_VALUE"""),44757.0)</f>
        <v>44757</v>
      </c>
      <c r="M766" s="19" t="str">
        <f>IFERROR(__xludf.DUMMYFUNCTION("""COMPUTED_VALUE"""),"PCM")</f>
        <v>PCM</v>
      </c>
      <c r="N766" s="19" t="str">
        <f>IFERROR(__xludf.DUMMYFUNCTION("""COMPUTED_VALUE"""),"PRIORIDAD 1 Q3 2023 OCTUBRE")</f>
        <v>PRIORIDAD 1 Q3 2023 OCTUBRE</v>
      </c>
    </row>
    <row r="767" ht="15.75" customHeight="1">
      <c r="A767" s="19" t="str">
        <f>IFERROR(__xludf.DUMMYFUNCTION("""COMPUTED_VALUE"""),"AB_6255")</f>
        <v>AB_6255</v>
      </c>
      <c r="B767" s="19" t="str">
        <f>IFERROR(__xludf.DUMMYFUNCTION("""COMPUTED_VALUE"""),"AB_6255_E")</f>
        <v>AB_6255_E</v>
      </c>
      <c r="C767" s="19" t="str">
        <f>IFERROR(__xludf.DUMMYFUNCTION("""COMPUTED_VALUE"""),"OH6255")</f>
        <v>OH6255</v>
      </c>
      <c r="D767" s="19" t="str">
        <f>IFERROR(__xludf.DUMMYFUNCTION("""COMPUTED_VALUE"""),"Patagua Cerro")</f>
        <v>Patagua Cerro</v>
      </c>
      <c r="E767" s="19" t="str">
        <f>IFERROR(__xludf.DUMMYFUNCTION("""COMPUTED_VALUE"""),"SITIO RFI")</f>
        <v>SITIO RFI</v>
      </c>
      <c r="F767" s="19" t="str">
        <f>IFERROR(__xludf.DUMMYFUNCTION("""COMPUTED_VALUE"""),"RFI")</f>
        <v>RFI</v>
      </c>
      <c r="G767" s="19" t="str">
        <f>IFERROR(__xludf.DUMMYFUNCTION("""COMPUTED_VALUE"""),"AS36")</f>
        <v>AS36</v>
      </c>
      <c r="H767" s="19" t="str">
        <f>IFERROR(__xludf.DUMMYFUNCTION("""COMPUTED_VALUE"""),"METALING")</f>
        <v>METALING</v>
      </c>
      <c r="I767" s="19" t="str">
        <f>IFERROR(__xludf.DUMMYFUNCTION("""COMPUTED_VALUE"""),"Entregada")</f>
        <v>Entregada</v>
      </c>
      <c r="J767" s="20">
        <f>IFERROR(__xludf.DUMMYFUNCTION("""COMPUTED_VALUE"""),44854.0)</f>
        <v>44854</v>
      </c>
      <c r="K767" s="19" t="str">
        <f>IFERROR(__xludf.DUMMYFUNCTION("""COMPUTED_VALUE"""),"Entregada")</f>
        <v>Entregada</v>
      </c>
      <c r="L767" s="20">
        <f>IFERROR(__xludf.DUMMYFUNCTION("""COMPUTED_VALUE"""),44855.0)</f>
        <v>44855</v>
      </c>
      <c r="M767" s="19" t="str">
        <f>IFERROR(__xludf.DUMMYFUNCTION("""COMPUTED_VALUE"""),"PCM")</f>
        <v>PCM</v>
      </c>
      <c r="N767" s="19" t="str">
        <f>IFERROR(__xludf.DUMMYFUNCTION("""COMPUTED_VALUE"""),"PRIORIDAD 1 Q3 2023 OCTUBRE")</f>
        <v>PRIORIDAD 1 Q3 2023 OCTUBRE</v>
      </c>
    </row>
    <row r="768" ht="15.75" customHeight="1">
      <c r="A768" s="19" t="str">
        <f>IFERROR(__xludf.DUMMYFUNCTION("""COMPUTED_VALUE"""),"AB_8217")</f>
        <v>AB_8217</v>
      </c>
      <c r="B768" s="19" t="str">
        <f>IFERROR(__xludf.DUMMYFUNCTION("""COMPUTED_VALUE"""),"AB_8217_A")</f>
        <v>AB_8217_A</v>
      </c>
      <c r="C768" s="19" t="str">
        <f>IFERROR(__xludf.DUMMYFUNCTION("""COMPUTED_VALUE"""),"OH8217")</f>
        <v>OH8217</v>
      </c>
      <c r="D768" s="19" t="str">
        <f>IFERROR(__xludf.DUMMYFUNCTION("""COMPUTED_VALUE"""),"Cerro Tren Tren")</f>
        <v>Cerro Tren Tren</v>
      </c>
      <c r="E768" s="19" t="str">
        <f>IFERROR(__xludf.DUMMYFUNCTION("""COMPUTED_VALUE"""),"EN VALIDACION COMPRAS")</f>
        <v>EN VALIDACION COMPRAS</v>
      </c>
      <c r="F768" s="19" t="str">
        <f>IFERROR(__xludf.DUMMYFUNCTION("""COMPUTED_VALUE"""),"VISITA")</f>
        <v>VISITA</v>
      </c>
      <c r="G768" s="19" t="str">
        <f>IFERROR(__xludf.DUMMYFUNCTION("""COMPUTED_VALUE"""),"CV42")</f>
        <v>CV42</v>
      </c>
      <c r="H768" s="19" t="str">
        <f>IFERROR(__xludf.DUMMYFUNCTION("""COMPUTED_VALUE"""),"SYC")</f>
        <v>SYC</v>
      </c>
      <c r="I768" s="19" t="str">
        <f>IFERROR(__xludf.DUMMYFUNCTION("""COMPUTED_VALUE"""),"Terminada")</f>
        <v>Terminada</v>
      </c>
      <c r="J768" s="20">
        <f>IFERROR(__xludf.DUMMYFUNCTION("""COMPUTED_VALUE"""),44890.0)</f>
        <v>44890</v>
      </c>
      <c r="K768" s="19" t="str">
        <f>IFERROR(__xludf.DUMMYFUNCTION("""COMPUTED_VALUE"""),"Terminada")</f>
        <v>Terminada</v>
      </c>
      <c r="L768" s="20">
        <f>IFERROR(__xludf.DUMMYFUNCTION("""COMPUTED_VALUE"""),44897.0)</f>
        <v>44897</v>
      </c>
      <c r="M768" s="19" t="str">
        <f>IFERROR(__xludf.DUMMYFUNCTION("""COMPUTED_VALUE"""),"PCM")</f>
        <v>PCM</v>
      </c>
      <c r="N768" s="19" t="str">
        <f>IFERROR(__xludf.DUMMYFUNCTION("""COMPUTED_VALUE"""),"PRIORIDAD 1 Q3 2023 OCTUBRE")</f>
        <v>PRIORIDAD 1 Q3 2023 OCTUBRE</v>
      </c>
    </row>
    <row r="769" ht="15.75" customHeight="1">
      <c r="A769" s="19" t="str">
        <f>IFERROR(__xludf.DUMMYFUNCTION("""COMPUTED_VALUE"""),"AB_8324")</f>
        <v>AB_8324</v>
      </c>
      <c r="B769" s="19" t="str">
        <f>IFERROR(__xludf.DUMMYFUNCTION("""COMPUTED_VALUE"""),"AB_8324_E")</f>
        <v>AB_8324_E</v>
      </c>
      <c r="C769" s="19" t="str">
        <f>IFERROR(__xludf.DUMMYFUNCTION("""COMPUTED_VALUE"""),"OH8324")</f>
        <v>OH8324</v>
      </c>
      <c r="D769" s="19" t="str">
        <f>IFERROR(__xludf.DUMMYFUNCTION("""COMPUTED_VALUE"""),"Santa Gabriela - San Fernando RU1")</f>
        <v>Santa Gabriela - San Fernando RU1</v>
      </c>
      <c r="E769" s="19" t="str">
        <f>IFERROR(__xludf.DUMMYFUNCTION("""COMPUTED_VALUE"""),"SITIO RFI")</f>
        <v>SITIO RFI</v>
      </c>
      <c r="F769" s="19" t="str">
        <f>IFERROR(__xludf.DUMMYFUNCTION("""COMPUTED_VALUE"""),"MONTAJE")</f>
        <v>MONTAJE</v>
      </c>
      <c r="G769" s="19" t="str">
        <f>IFERROR(__xludf.DUMMYFUNCTION("""COMPUTED_VALUE"""),"AS42")</f>
        <v>AS42</v>
      </c>
      <c r="H769" s="19" t="str">
        <f>IFERROR(__xludf.DUMMYFUNCTION("""COMPUTED_VALUE"""),"MER")</f>
        <v>MER</v>
      </c>
      <c r="I769" s="19" t="str">
        <f>IFERROR(__xludf.DUMMYFUNCTION("""COMPUTED_VALUE"""),"Entregada")</f>
        <v>Entregada</v>
      </c>
      <c r="J769" s="20">
        <f>IFERROR(__xludf.DUMMYFUNCTION("""COMPUTED_VALUE"""),44862.0)</f>
        <v>44862</v>
      </c>
      <c r="K769" s="19" t="str">
        <f>IFERROR(__xludf.DUMMYFUNCTION("""COMPUTED_VALUE"""),"Entregada")</f>
        <v>Entregada</v>
      </c>
      <c r="L769" s="20">
        <f>IFERROR(__xludf.DUMMYFUNCTION("""COMPUTED_VALUE"""),44890.0)</f>
        <v>44890</v>
      </c>
      <c r="M769" s="19" t="str">
        <f>IFERROR(__xludf.DUMMYFUNCTION("""COMPUTED_VALUE"""),"PCM_4")</f>
        <v>PCM_4</v>
      </c>
      <c r="N769" s="19" t="str">
        <f>IFERROR(__xludf.DUMMYFUNCTION("""COMPUTED_VALUE"""),"PCM_5")</f>
        <v>PCM_5</v>
      </c>
    </row>
    <row r="770" ht="15.75" customHeight="1">
      <c r="A770" s="19" t="str">
        <f>IFERROR(__xludf.DUMMYFUNCTION("""COMPUTED_VALUE"""),"AB_8877")</f>
        <v>AB_8877</v>
      </c>
      <c r="B770" s="19" t="str">
        <f>IFERROR(__xludf.DUMMYFUNCTION("""COMPUTED_VALUE"""),"AB_8877_B")</f>
        <v>AB_8877_B</v>
      </c>
      <c r="C770" s="19" t="str">
        <f>IFERROR(__xludf.DUMMYFUNCTION("""COMPUTED_VALUE"""),"OH8877")</f>
        <v>OH8877</v>
      </c>
      <c r="D770" s="19" t="str">
        <f>IFERROR(__xludf.DUMMYFUNCTION("""COMPUTED_VALUE"""),"Cerrillos Doñihue")</f>
        <v>Cerrillos Doñihue</v>
      </c>
      <c r="E770" s="19" t="str">
        <f>IFERROR(__xludf.DUMMYFUNCTION("""COMPUTED_VALUE"""),"SITIO RFI")</f>
        <v>SITIO RFI</v>
      </c>
      <c r="F770" s="19" t="str">
        <f>IFERROR(__xludf.DUMMYFUNCTION("""COMPUTED_VALUE"""),"RFI")</f>
        <v>RFI</v>
      </c>
      <c r="G770" s="19" t="str">
        <f>IFERROR(__xludf.DUMMYFUNCTION("""COMPUTED_VALUE"""),"CV42")</f>
        <v>CV42</v>
      </c>
      <c r="H770" s="19" t="str">
        <f>IFERROR(__xludf.DUMMYFUNCTION("""COMPUTED_VALUE"""),"DEPROMET")</f>
        <v>DEPROMET</v>
      </c>
      <c r="I770" s="19" t="str">
        <f>IFERROR(__xludf.DUMMYFUNCTION("""COMPUTED_VALUE"""),"Entregada")</f>
        <v>Entregada</v>
      </c>
      <c r="J770" s="20">
        <f>IFERROR(__xludf.DUMMYFUNCTION("""COMPUTED_VALUE"""),44764.0)</f>
        <v>44764</v>
      </c>
      <c r="K770" s="19" t="str">
        <f>IFERROR(__xludf.DUMMYFUNCTION("""COMPUTED_VALUE"""),"Entregada")</f>
        <v>Entregada</v>
      </c>
      <c r="L770" s="20">
        <f>IFERROR(__xludf.DUMMYFUNCTION("""COMPUTED_VALUE"""),44785.0)</f>
        <v>44785</v>
      </c>
      <c r="M770" s="19" t="str">
        <f>IFERROR(__xludf.DUMMYFUNCTION("""COMPUTED_VALUE"""),"PCM")</f>
        <v>PCM</v>
      </c>
      <c r="N770" s="19" t="str">
        <f>IFERROR(__xludf.DUMMYFUNCTION("""COMPUTED_VALUE"""),"PRIORIDAD 1 Q3 2023 OCTUBRE")</f>
        <v>PRIORIDAD 1 Q3 2023 OCTUBRE</v>
      </c>
    </row>
    <row r="771" ht="15.75" customHeight="1">
      <c r="A771" s="19" t="str">
        <f>IFERROR(__xludf.DUMMYFUNCTION("""COMPUTED_VALUE"""),"AB_8889")</f>
        <v>AB_8889</v>
      </c>
      <c r="B771" s="19" t="str">
        <f>IFERROR(__xludf.DUMMYFUNCTION("""COMPUTED_VALUE"""),"AB_8889_A")</f>
        <v>AB_8889_A</v>
      </c>
      <c r="C771" s="19" t="str">
        <f>IFERROR(__xludf.DUMMYFUNCTION("""COMPUTED_VALUE"""),"OH8889")</f>
        <v>OH8889</v>
      </c>
      <c r="D771" s="19" t="str">
        <f>IFERROR(__xludf.DUMMYFUNCTION("""COMPUTED_VALUE"""),"Idahuillo")</f>
        <v>Idahuillo</v>
      </c>
      <c r="E771" s="19" t="str">
        <f>IFERROR(__xludf.DUMMYFUNCTION("""COMPUTED_VALUE"""),"SITIO RFI")</f>
        <v>SITIO RFI</v>
      </c>
      <c r="F771" s="19" t="str">
        <f>IFERROR(__xludf.DUMMYFUNCTION("""COMPUTED_VALUE"""),"RFI")</f>
        <v>RFI</v>
      </c>
      <c r="G771" s="19" t="str">
        <f>IFERROR(__xludf.DUMMYFUNCTION("""COMPUTED_VALUE"""),"AS60")</f>
        <v>AS60</v>
      </c>
      <c r="H771" s="19" t="str">
        <f>IFERROR(__xludf.DUMMYFUNCTION("""COMPUTED_VALUE"""),"ADM")</f>
        <v>ADM</v>
      </c>
      <c r="I771" s="19" t="str">
        <f>IFERROR(__xludf.DUMMYFUNCTION("""COMPUTED_VALUE"""),"Entregada")</f>
        <v>Entregada</v>
      </c>
      <c r="J771" s="20">
        <f>IFERROR(__xludf.DUMMYFUNCTION("""COMPUTED_VALUE"""),44750.0)</f>
        <v>44750</v>
      </c>
      <c r="K771" s="19" t="str">
        <f>IFERROR(__xludf.DUMMYFUNCTION("""COMPUTED_VALUE"""),"Entregada")</f>
        <v>Entregada</v>
      </c>
      <c r="L771" s="20">
        <f>IFERROR(__xludf.DUMMYFUNCTION("""COMPUTED_VALUE"""),44778.0)</f>
        <v>44778</v>
      </c>
      <c r="M771" s="19" t="str">
        <f>IFERROR(__xludf.DUMMYFUNCTION("""COMPUTED_VALUE"""),"PCM_2")</f>
        <v>PCM_2</v>
      </c>
      <c r="N771" s="19" t="str">
        <f>IFERROR(__xludf.DUMMYFUNCTION("""COMPUTED_VALUE"""),"PRIORIDAD 1 Q3 2023 OCTUBRE")</f>
        <v>PRIORIDAD 1 Q3 2023 OCTUBRE</v>
      </c>
    </row>
    <row r="772" ht="15.75" customHeight="1">
      <c r="A772" s="19" t="str">
        <f>IFERROR(__xludf.DUMMYFUNCTION("""COMPUTED_VALUE"""),"AB_8893")</f>
        <v>AB_8893</v>
      </c>
      <c r="B772" s="19" t="str">
        <f>IFERROR(__xludf.DUMMYFUNCTION("""COMPUTED_VALUE"""),"AB_8893_E")</f>
        <v>AB_8893_E</v>
      </c>
      <c r="C772" s="19" t="str">
        <f>IFERROR(__xludf.DUMMYFUNCTION("""COMPUTED_VALUE"""),"OH8893")</f>
        <v>OH8893</v>
      </c>
      <c r="D772" s="19" t="str">
        <f>IFERROR(__xludf.DUMMYFUNCTION("""COMPUTED_VALUE"""),"Pelequen Norte")</f>
        <v>Pelequen Norte</v>
      </c>
      <c r="E772" s="19" t="str">
        <f>IFERROR(__xludf.DUMMYFUNCTION("""COMPUTED_VALUE"""),"SITIO RFI")</f>
        <v>SITIO RFI</v>
      </c>
      <c r="F772" s="19" t="str">
        <f>IFERROR(__xludf.DUMMYFUNCTION("""COMPUTED_VALUE"""),"RFI")</f>
        <v>RFI</v>
      </c>
      <c r="G772" s="19" t="str">
        <f>IFERROR(__xludf.DUMMYFUNCTION("""COMPUTED_VALUE"""),"AS42")</f>
        <v>AS42</v>
      </c>
      <c r="H772" s="19" t="str">
        <f>IFERROR(__xludf.DUMMYFUNCTION("""COMPUTED_VALUE"""),"MER")</f>
        <v>MER</v>
      </c>
      <c r="I772" s="19" t="str">
        <f>IFERROR(__xludf.DUMMYFUNCTION("""COMPUTED_VALUE"""),"Entregada")</f>
        <v>Entregada</v>
      </c>
      <c r="J772" s="20">
        <f>IFERROR(__xludf.DUMMYFUNCTION("""COMPUTED_VALUE"""),44722.0)</f>
        <v>44722</v>
      </c>
      <c r="K772" s="19" t="str">
        <f>IFERROR(__xludf.DUMMYFUNCTION("""COMPUTED_VALUE"""),"Entregada")</f>
        <v>Entregada</v>
      </c>
      <c r="L772" s="20">
        <f>IFERROR(__xludf.DUMMYFUNCTION("""COMPUTED_VALUE"""),44729.0)</f>
        <v>44729</v>
      </c>
      <c r="M772" s="19" t="str">
        <f>IFERROR(__xludf.DUMMYFUNCTION("""COMPUTED_VALUE"""),"PCM")</f>
        <v>PCM</v>
      </c>
      <c r="N772" s="19" t="str">
        <f>IFERROR(__xludf.DUMMYFUNCTION("""COMPUTED_VALUE"""),"PRIORIDAD 1 Q3 2023 OCTUBRE")</f>
        <v>PRIORIDAD 1 Q3 2023 OCTUBRE</v>
      </c>
    </row>
    <row r="773" ht="15.75" customHeight="1">
      <c r="A773" s="19" t="str">
        <f>IFERROR(__xludf.DUMMYFUNCTION("""COMPUTED_VALUE"""),"AB_8906")</f>
        <v>AB_8906</v>
      </c>
      <c r="B773" s="19" t="str">
        <f>IFERROR(__xludf.DUMMYFUNCTION("""COMPUTED_VALUE"""),"AB_8906_B")</f>
        <v>AB_8906_B</v>
      </c>
      <c r="C773" s="19" t="str">
        <f>IFERROR(__xludf.DUMMYFUNCTION("""COMPUTED_VALUE"""),"OH8906")</f>
        <v>OH8906</v>
      </c>
      <c r="D773" s="19" t="str">
        <f>IFERROR(__xludf.DUMMYFUNCTION("""COMPUTED_VALUE"""),"Punta Cortes Pueblo")</f>
        <v>Punta Cortes Pueblo</v>
      </c>
      <c r="E773" s="19" t="str">
        <f>IFERROR(__xludf.DUMMYFUNCTION("""COMPUTED_VALUE"""),"SITIO RFI")</f>
        <v>SITIO RFI</v>
      </c>
      <c r="F773" s="19" t="str">
        <f>IFERROR(__xludf.DUMMYFUNCTION("""COMPUTED_VALUE"""),"RFI")</f>
        <v>RFI</v>
      </c>
      <c r="G773" s="19" t="str">
        <f>IFERROR(__xludf.DUMMYFUNCTION("""COMPUTED_VALUE"""),"CV30")</f>
        <v>CV30</v>
      </c>
      <c r="H773" s="19" t="str">
        <f>IFERROR(__xludf.DUMMYFUNCTION("""COMPUTED_VALUE"""),"SYC")</f>
        <v>SYC</v>
      </c>
      <c r="I773" s="19" t="str">
        <f>IFERROR(__xludf.DUMMYFUNCTION("""COMPUTED_VALUE"""),"Entregada")</f>
        <v>Entregada</v>
      </c>
      <c r="J773" s="20">
        <f>IFERROR(__xludf.DUMMYFUNCTION("""COMPUTED_VALUE"""),44708.0)</f>
        <v>44708</v>
      </c>
      <c r="K773" s="19" t="str">
        <f>IFERROR(__xludf.DUMMYFUNCTION("""COMPUTED_VALUE"""),"Entregada")</f>
        <v>Entregada</v>
      </c>
      <c r="L773" s="20">
        <f>IFERROR(__xludf.DUMMYFUNCTION("""COMPUTED_VALUE"""),44816.0)</f>
        <v>44816</v>
      </c>
      <c r="M773" s="19" t="str">
        <f>IFERROR(__xludf.DUMMYFUNCTION("""COMPUTED_VALUE"""),"PCM")</f>
        <v>PCM</v>
      </c>
      <c r="N773" s="19" t="str">
        <f>IFERROR(__xludf.DUMMYFUNCTION("""COMPUTED_VALUE"""),"PRIORIDAD 1 Q3 2023 OCTUBRE")</f>
        <v>PRIORIDAD 1 Q3 2023 OCTUBRE</v>
      </c>
    </row>
    <row r="774" ht="15.75" customHeight="1">
      <c r="A774" s="19" t="str">
        <f>IFERROR(__xludf.DUMMYFUNCTION("""COMPUTED_VALUE"""),"AB_9085")</f>
        <v>AB_9085</v>
      </c>
      <c r="B774" s="19" t="str">
        <f>IFERROR(__xludf.DUMMYFUNCTION("""COMPUTED_VALUE"""),"AB_9085_A")</f>
        <v>AB_9085_A</v>
      </c>
      <c r="C774" s="19" t="str">
        <f>IFERROR(__xludf.DUMMYFUNCTION("""COMPUTED_VALUE"""),"OH9085")</f>
        <v>OH9085</v>
      </c>
      <c r="D774" s="19" t="str">
        <f>IFERROR(__xludf.DUMMYFUNCTION("""COMPUTED_VALUE"""),"Cerro Codao")</f>
        <v>Cerro Codao</v>
      </c>
      <c r="E774" s="19" t="str">
        <f>IFERROR(__xludf.DUMMYFUNCTION("""COMPUTED_VALUE"""),"SITIO RFI")</f>
        <v>SITIO RFI</v>
      </c>
      <c r="F774" s="19" t="str">
        <f>IFERROR(__xludf.DUMMYFUNCTION("""COMPUTED_VALUE"""),"RFI")</f>
        <v>RFI</v>
      </c>
      <c r="G774" s="19" t="str">
        <f>IFERROR(__xludf.DUMMYFUNCTION("""COMPUTED_VALUE"""),"CV42")</f>
        <v>CV42</v>
      </c>
      <c r="H774" s="19" t="str">
        <f>IFERROR(__xludf.DUMMYFUNCTION("""COMPUTED_VALUE"""),"SyC")</f>
        <v>SyC</v>
      </c>
      <c r="I774" s="19" t="str">
        <f>IFERROR(__xludf.DUMMYFUNCTION("""COMPUTED_VALUE"""),"Entregada")</f>
        <v>Entregada</v>
      </c>
      <c r="J774" s="20">
        <f>IFERROR(__xludf.DUMMYFUNCTION("""COMPUTED_VALUE"""),44769.0)</f>
        <v>44769</v>
      </c>
      <c r="K774" s="19" t="str">
        <f>IFERROR(__xludf.DUMMYFUNCTION("""COMPUTED_VALUE"""),"Entregada")</f>
        <v>Entregada</v>
      </c>
      <c r="L774" s="20">
        <f>IFERROR(__xludf.DUMMYFUNCTION("""COMPUTED_VALUE"""),44784.0)</f>
        <v>44784</v>
      </c>
      <c r="M774" s="19" t="str">
        <f>IFERROR(__xludf.DUMMYFUNCTION("""COMPUTED_VALUE"""),"PCM")</f>
        <v>PCM</v>
      </c>
      <c r="N774" s="19" t="str">
        <f>IFERROR(__xludf.DUMMYFUNCTION("""COMPUTED_VALUE"""),"PRIORIDAD 1 Q3 2023 OCTUBRE")</f>
        <v>PRIORIDAD 1 Q3 2023 OCTUBRE</v>
      </c>
    </row>
    <row r="775" ht="15.75" customHeight="1">
      <c r="A775" s="19" t="str">
        <f>IFERROR(__xludf.DUMMYFUNCTION("""COMPUTED_VALUE"""),"AB_9086")</f>
        <v>AB_9086</v>
      </c>
      <c r="B775" s="19" t="str">
        <f>IFERROR(__xludf.DUMMYFUNCTION("""COMPUTED_VALUE"""),"AB_9086_A")</f>
        <v>AB_9086_A</v>
      </c>
      <c r="C775" s="19" t="str">
        <f>IFERROR(__xludf.DUMMYFUNCTION("""COMPUTED_VALUE"""),"OH9086")</f>
        <v>OH9086</v>
      </c>
      <c r="D775" s="19" t="str">
        <f>IFERROR(__xludf.DUMMYFUNCTION("""COMPUTED_VALUE"""),"Rinconada de Doñihue")</f>
        <v>Rinconada de Doñihue</v>
      </c>
      <c r="E775" s="19" t="str">
        <f>IFERROR(__xludf.DUMMYFUNCTION("""COMPUTED_VALUE"""),"SITIO RFI")</f>
        <v>SITIO RFI</v>
      </c>
      <c r="F775" s="19" t="str">
        <f>IFERROR(__xludf.DUMMYFUNCTION("""COMPUTED_VALUE"""),"RFI")</f>
        <v>RFI</v>
      </c>
      <c r="G775" s="19" t="str">
        <f>IFERROR(__xludf.DUMMYFUNCTION("""COMPUTED_VALUE"""),"AS36")</f>
        <v>AS36</v>
      </c>
      <c r="H775" s="19" t="str">
        <f>IFERROR(__xludf.DUMMYFUNCTION("""COMPUTED_VALUE"""),"MER")</f>
        <v>MER</v>
      </c>
      <c r="I775" s="19" t="str">
        <f>IFERROR(__xludf.DUMMYFUNCTION("""COMPUTED_VALUE"""),"Entregada")</f>
        <v>Entregada</v>
      </c>
      <c r="J775" s="20">
        <f>IFERROR(__xludf.DUMMYFUNCTION("""COMPUTED_VALUE"""),44642.0)</f>
        <v>44642</v>
      </c>
      <c r="K775" s="19" t="str">
        <f>IFERROR(__xludf.DUMMYFUNCTION("""COMPUTED_VALUE"""),"Entregada")</f>
        <v>Entregada</v>
      </c>
      <c r="L775" s="20">
        <f>IFERROR(__xludf.DUMMYFUNCTION("""COMPUTED_VALUE"""),44656.0)</f>
        <v>44656</v>
      </c>
      <c r="M775" s="19" t="str">
        <f>IFERROR(__xludf.DUMMYFUNCTION("""COMPUTED_VALUE"""),"PCM")</f>
        <v>PCM</v>
      </c>
      <c r="N775" s="19" t="str">
        <f>IFERROR(__xludf.DUMMYFUNCTION("""COMPUTED_VALUE"""),"PRIORIDAD 1 Q3 2023 OCTUBRE")</f>
        <v>PRIORIDAD 1 Q3 2023 OCTUBRE</v>
      </c>
    </row>
    <row r="776" ht="15.75" customHeight="1">
      <c r="A776" s="19" t="str">
        <f>IFERROR(__xludf.DUMMYFUNCTION("""COMPUTED_VALUE"""),"AB_9662")</f>
        <v>AB_9662</v>
      </c>
      <c r="B776" s="19" t="str">
        <f>IFERROR(__xludf.DUMMYFUNCTION("""COMPUTED_VALUE"""),"AB_9662_A")</f>
        <v>AB_9662_A</v>
      </c>
      <c r="C776" s="19" t="str">
        <f>IFERROR(__xludf.DUMMYFUNCTION("""COMPUTED_VALUE"""),"OH9662")</f>
        <v>OH9662</v>
      </c>
      <c r="D776" s="19" t="str">
        <f>IFERROR(__xludf.DUMMYFUNCTION("""COMPUTED_VALUE"""),"La Rosa Peumo")</f>
        <v>La Rosa Peumo</v>
      </c>
      <c r="E776" s="19" t="str">
        <f>IFERROR(__xludf.DUMMYFUNCTION("""COMPUTED_VALUE"""),"SITIO RFI")</f>
        <v>SITIO RFI</v>
      </c>
      <c r="F776" s="19" t="str">
        <f>IFERROR(__xludf.DUMMYFUNCTION("""COMPUTED_VALUE"""),"RFI")</f>
        <v>RFI</v>
      </c>
      <c r="G776" s="19" t="str">
        <f>IFERROR(__xludf.DUMMYFUNCTION("""COMPUTED_VALUE"""),"AS60")</f>
        <v>AS60</v>
      </c>
      <c r="H776" s="19" t="str">
        <f>IFERROR(__xludf.DUMMYFUNCTION("""COMPUTED_VALUE"""),"MER")</f>
        <v>MER</v>
      </c>
      <c r="I776" s="19" t="str">
        <f>IFERROR(__xludf.DUMMYFUNCTION("""COMPUTED_VALUE"""),"Entregada")</f>
        <v>Entregada</v>
      </c>
      <c r="J776" s="20">
        <f>IFERROR(__xludf.DUMMYFUNCTION("""COMPUTED_VALUE"""),44697.0)</f>
        <v>44697</v>
      </c>
      <c r="K776" s="19" t="str">
        <f>IFERROR(__xludf.DUMMYFUNCTION("""COMPUTED_VALUE"""),"Entregada")</f>
        <v>Entregada</v>
      </c>
      <c r="L776" s="20">
        <f>IFERROR(__xludf.DUMMYFUNCTION("""COMPUTED_VALUE"""),44722.0)</f>
        <v>44722</v>
      </c>
      <c r="M776" s="19" t="str">
        <f>IFERROR(__xludf.DUMMYFUNCTION("""COMPUTED_VALUE"""),"PCM")</f>
        <v>PCM</v>
      </c>
      <c r="N776" s="19" t="str">
        <f>IFERROR(__xludf.DUMMYFUNCTION("""COMPUTED_VALUE"""),"PRIORIDAD 1 Q3 2023 OCTUBRE")</f>
        <v>PRIORIDAD 1 Q3 2023 OCTUBRE</v>
      </c>
    </row>
    <row r="777" ht="15.75" customHeight="1">
      <c r="A777" s="19" t="str">
        <f>IFERROR(__xludf.DUMMYFUNCTION("""COMPUTED_VALUE"""),"AB_9675")</f>
        <v>AB_9675</v>
      </c>
      <c r="B777" s="19" t="str">
        <f>IFERROR(__xludf.DUMMYFUNCTION("""COMPUTED_VALUE"""),"AB_9675_B")</f>
        <v>AB_9675_B</v>
      </c>
      <c r="C777" s="19" t="str">
        <f>IFERROR(__xludf.DUMMYFUNCTION("""COMPUTED_VALUE"""),"OH9675")</f>
        <v>OH9675</v>
      </c>
      <c r="D777" s="19" t="str">
        <f>IFERROR(__xludf.DUMMYFUNCTION("""COMPUTED_VALUE"""),"Guadalao")</f>
        <v>Guadalao</v>
      </c>
      <c r="E777" s="19" t="str">
        <f>IFERROR(__xludf.DUMMYFUNCTION("""COMPUTED_VALUE"""),"SITIO RFI")</f>
        <v>SITIO RFI</v>
      </c>
      <c r="F777" s="19" t="str">
        <f>IFERROR(__xludf.DUMMYFUNCTION("""COMPUTED_VALUE"""),"RFI")</f>
        <v>RFI</v>
      </c>
      <c r="G777" s="19" t="str">
        <f>IFERROR(__xludf.DUMMYFUNCTION("""COMPUTED_VALUE"""),"AS60")</f>
        <v>AS60</v>
      </c>
      <c r="H777" s="19" t="str">
        <f>IFERROR(__xludf.DUMMYFUNCTION("""COMPUTED_VALUE"""),"ADM")</f>
        <v>ADM</v>
      </c>
      <c r="I777" s="19" t="str">
        <f>IFERROR(__xludf.DUMMYFUNCTION("""COMPUTED_VALUE"""),"Entregada")</f>
        <v>Entregada</v>
      </c>
      <c r="J777" s="20">
        <f>IFERROR(__xludf.DUMMYFUNCTION("""COMPUTED_VALUE"""),44750.0)</f>
        <v>44750</v>
      </c>
      <c r="K777" s="19" t="str">
        <f>IFERROR(__xludf.DUMMYFUNCTION("""COMPUTED_VALUE"""),"Entregada")</f>
        <v>Entregada</v>
      </c>
      <c r="L777" s="20">
        <f>IFERROR(__xludf.DUMMYFUNCTION("""COMPUTED_VALUE"""),44778.0)</f>
        <v>44778</v>
      </c>
      <c r="M777" s="19" t="str">
        <f>IFERROR(__xludf.DUMMYFUNCTION("""COMPUTED_VALUE"""),"PCM")</f>
        <v>PCM</v>
      </c>
      <c r="N777" s="19" t="str">
        <f>IFERROR(__xludf.DUMMYFUNCTION("""COMPUTED_VALUE"""),"PRIORIDAD 1 Q3 2023 OCTUBRE")</f>
        <v>PRIORIDAD 1 Q3 2023 OCTUBRE</v>
      </c>
    </row>
    <row r="778" ht="15.75" customHeight="1">
      <c r="A778" s="19" t="str">
        <f>IFERROR(__xludf.DUMMYFUNCTION("""COMPUTED_VALUE"""),"AB_9734")</f>
        <v>AB_9734</v>
      </c>
      <c r="B778" s="19" t="str">
        <f>IFERROR(__xludf.DUMMYFUNCTION("""COMPUTED_VALUE"""),"AB_9734_A")</f>
        <v>AB_9734_A</v>
      </c>
      <c r="C778" s="19" t="str">
        <f>IFERROR(__xludf.DUMMYFUNCTION("""COMPUTED_VALUE"""),"NU9734")</f>
        <v>NU9734</v>
      </c>
      <c r="D778" s="19" t="str">
        <f>IFERROR(__xludf.DUMMYFUNCTION("""COMPUTED_VALUE"""),"Concuyo")</f>
        <v>Concuyo</v>
      </c>
      <c r="E778" s="19" t="str">
        <f>IFERROR(__xludf.DUMMYFUNCTION("""COMPUTED_VALUE"""),"SITIO CONSTRUIDO")</f>
        <v>SITIO CONSTRUIDO</v>
      </c>
      <c r="F778" s="19" t="str">
        <f>IFERROR(__xludf.DUMMYFUNCTION("""COMPUTED_VALUE"""),"ENFIERRADURA")</f>
        <v>ENFIERRADURA</v>
      </c>
      <c r="G778" s="19" t="str">
        <f>IFERROR(__xludf.DUMMYFUNCTION("""COMPUTED_VALUE"""),"AS48")</f>
        <v>AS48</v>
      </c>
      <c r="H778" s="19" t="str">
        <f>IFERROR(__xludf.DUMMYFUNCTION("""COMPUTED_VALUE"""),"ADM")</f>
        <v>ADM</v>
      </c>
      <c r="I778" s="19" t="str">
        <f>IFERROR(__xludf.DUMMYFUNCTION("""COMPUTED_VALUE"""),"Terminada")</f>
        <v>Terminada</v>
      </c>
      <c r="J778" s="20">
        <f>IFERROR(__xludf.DUMMYFUNCTION("""COMPUTED_VALUE"""),44750.0)</f>
        <v>44750</v>
      </c>
      <c r="K778" s="19" t="str">
        <f>IFERROR(__xludf.DUMMYFUNCTION("""COMPUTED_VALUE"""),"Terminada")</f>
        <v>Terminada</v>
      </c>
      <c r="L778" s="20">
        <f>IFERROR(__xludf.DUMMYFUNCTION("""COMPUTED_VALUE"""),44890.0)</f>
        <v>44890</v>
      </c>
      <c r="M778" s="19" t="str">
        <f>IFERROR(__xludf.DUMMYFUNCTION("""COMPUTED_VALUE"""),"LLOO")</f>
        <v>LLOO</v>
      </c>
      <c r="N778" s="19" t="str">
        <f>IFERROR(__xludf.DUMMYFUNCTION("""COMPUTED_VALUE"""),"PRIORIDAD 1 Q3 2023 OCTUBRE")</f>
        <v>PRIORIDAD 1 Q3 2023 OCTUBRE</v>
      </c>
    </row>
    <row r="779" ht="15.75" customHeight="1">
      <c r="A779" s="19" t="str">
        <f>IFERROR(__xludf.DUMMYFUNCTION("""COMPUTED_VALUE"""),"AB_9681")</f>
        <v>AB_9681</v>
      </c>
      <c r="B779" s="19" t="str">
        <f>IFERROR(__xludf.DUMMYFUNCTION("""COMPUTED_VALUE"""),"AB_9681_A")</f>
        <v>AB_9681_A</v>
      </c>
      <c r="C779" s="19" t="str">
        <f>IFERROR(__xludf.DUMMYFUNCTION("""COMPUTED_VALUE"""),"OH9681")</f>
        <v>OH9681</v>
      </c>
      <c r="D779" s="19" t="str">
        <f>IFERROR(__xludf.DUMMYFUNCTION("""COMPUTED_VALUE"""),"Alto Polcura")</f>
        <v>Alto Polcura</v>
      </c>
      <c r="E779" s="19" t="str">
        <f>IFERROR(__xludf.DUMMYFUNCTION("""COMPUTED_VALUE"""),"SITIO RFI")</f>
        <v>SITIO RFI</v>
      </c>
      <c r="F779" s="19" t="str">
        <f>IFERROR(__xludf.DUMMYFUNCTION("""COMPUTED_VALUE"""),"RFI")</f>
        <v>RFI</v>
      </c>
      <c r="G779" s="19" t="str">
        <f>IFERROR(__xludf.DUMMYFUNCTION("""COMPUTED_VALUE"""),"AS60")</f>
        <v>AS60</v>
      </c>
      <c r="H779" s="19" t="str">
        <f>IFERROR(__xludf.DUMMYFUNCTION("""COMPUTED_VALUE"""),"SyC")</f>
        <v>SyC</v>
      </c>
      <c r="I779" s="19" t="str">
        <f>IFERROR(__xludf.DUMMYFUNCTION("""COMPUTED_VALUE"""),"Entregada")</f>
        <v>Entregada</v>
      </c>
      <c r="J779" s="20">
        <f>IFERROR(__xludf.DUMMYFUNCTION("""COMPUTED_VALUE"""),44622.0)</f>
        <v>44622</v>
      </c>
      <c r="K779" s="19" t="str">
        <f>IFERROR(__xludf.DUMMYFUNCTION("""COMPUTED_VALUE"""),"Entregada")</f>
        <v>Entregada</v>
      </c>
      <c r="L779" s="20">
        <f>IFERROR(__xludf.DUMMYFUNCTION("""COMPUTED_VALUE"""),44617.0)</f>
        <v>44617</v>
      </c>
      <c r="M779" s="19" t="str">
        <f>IFERROR(__xludf.DUMMYFUNCTION("""COMPUTED_VALUE"""),"PCM")</f>
        <v>PCM</v>
      </c>
      <c r="N779" s="19" t="str">
        <f>IFERROR(__xludf.DUMMYFUNCTION("""COMPUTED_VALUE"""),"PRIORIDAD 1 Q3 2023 OCTUBRE")</f>
        <v>PRIORIDAD 1 Q3 2023 OCTUBRE</v>
      </c>
    </row>
    <row r="780" ht="15.75" customHeight="1">
      <c r="A780" s="19" t="str">
        <f>IFERROR(__xludf.DUMMYFUNCTION("""COMPUTED_VALUE"""),"AB_9685")</f>
        <v>AB_9685</v>
      </c>
      <c r="B780" s="19" t="str">
        <f>IFERROR(__xludf.DUMMYFUNCTION("""COMPUTED_VALUE"""),"AB_9685_E")</f>
        <v>AB_9685_E</v>
      </c>
      <c r="C780" s="19" t="str">
        <f>IFERROR(__xludf.DUMMYFUNCTION("""COMPUTED_VALUE"""),"OH9685")</f>
        <v>OH9685</v>
      </c>
      <c r="D780" s="19" t="str">
        <f>IFERROR(__xludf.DUMMYFUNCTION("""COMPUTED_VALUE"""),"Pidihuinco Alto")</f>
        <v>Pidihuinco Alto</v>
      </c>
      <c r="E780" s="19" t="str">
        <f>IFERROR(__xludf.DUMMYFUNCTION("""COMPUTED_VALUE"""),"SITIO RFI")</f>
        <v>SITIO RFI</v>
      </c>
      <c r="F780" s="19" t="str">
        <f>IFERROR(__xludf.DUMMYFUNCTION("""COMPUTED_VALUE"""),"RFI")</f>
        <v>RFI</v>
      </c>
      <c r="G780" s="19" t="str">
        <f>IFERROR(__xludf.DUMMYFUNCTION("""COMPUTED_VALUE"""),"AS48")</f>
        <v>AS48</v>
      </c>
      <c r="H780" s="19" t="str">
        <f>IFERROR(__xludf.DUMMYFUNCTION("""COMPUTED_VALUE"""),"METALING")</f>
        <v>METALING</v>
      </c>
      <c r="I780" s="19" t="str">
        <f>IFERROR(__xludf.DUMMYFUNCTION("""COMPUTED_VALUE"""),"Entregada")</f>
        <v>Entregada</v>
      </c>
      <c r="J780" s="20">
        <f>IFERROR(__xludf.DUMMYFUNCTION("""COMPUTED_VALUE"""),44869.0)</f>
        <v>44869</v>
      </c>
      <c r="K780" s="19" t="str">
        <f>IFERROR(__xludf.DUMMYFUNCTION("""COMPUTED_VALUE"""),"Entregada")</f>
        <v>Entregada</v>
      </c>
      <c r="L780" s="20">
        <f>IFERROR(__xludf.DUMMYFUNCTION("""COMPUTED_VALUE"""),44908.0)</f>
        <v>44908</v>
      </c>
      <c r="M780" s="19" t="str">
        <f>IFERROR(__xludf.DUMMYFUNCTION("""COMPUTED_VALUE"""),"LLOO")</f>
        <v>LLOO</v>
      </c>
      <c r="N780" s="19" t="str">
        <f>IFERROR(__xludf.DUMMYFUNCTION("""COMPUTED_VALUE"""),"PRIORIDAD 1 Q3 2023 OCTUBRE")</f>
        <v>PRIORIDAD 1 Q3 2023 OCTUBRE</v>
      </c>
    </row>
    <row r="781" ht="15.75" customHeight="1">
      <c r="A781" s="19" t="str">
        <f>IFERROR(__xludf.DUMMYFUNCTION("""COMPUTED_VALUE"""),"AB_9689")</f>
        <v>AB_9689</v>
      </c>
      <c r="B781" s="19" t="str">
        <f>IFERROR(__xludf.DUMMYFUNCTION("""COMPUTED_VALUE"""),"AB_9689_A")</f>
        <v>AB_9689_A</v>
      </c>
      <c r="C781" s="19" t="str">
        <f>IFERROR(__xludf.DUMMYFUNCTION("""COMPUTED_VALUE"""),"OH9689")</f>
        <v>OH9689</v>
      </c>
      <c r="D781" s="19" t="str">
        <f>IFERROR(__xludf.DUMMYFUNCTION("""COMPUTED_VALUE"""),"Los Canelos Chepica")</f>
        <v>Los Canelos Chepica</v>
      </c>
      <c r="E781" s="19" t="str">
        <f>IFERROR(__xludf.DUMMYFUNCTION("""COMPUTED_VALUE"""),"SITIO RFI")</f>
        <v>SITIO RFI</v>
      </c>
      <c r="F781" s="19" t="str">
        <f>IFERROR(__xludf.DUMMYFUNCTION("""COMPUTED_VALUE"""),"RFI")</f>
        <v>RFI</v>
      </c>
      <c r="G781" s="19" t="str">
        <f>IFERROR(__xludf.DUMMYFUNCTION("""COMPUTED_VALUE"""),"CV60")</f>
        <v>CV60</v>
      </c>
      <c r="H781" s="19" t="str">
        <f>IFERROR(__xludf.DUMMYFUNCTION("""COMPUTED_VALUE"""),"DEPROMET")</f>
        <v>DEPROMET</v>
      </c>
      <c r="I781" s="19" t="str">
        <f>IFERROR(__xludf.DUMMYFUNCTION("""COMPUTED_VALUE"""),"Entregada")</f>
        <v>Entregada</v>
      </c>
      <c r="J781" s="20">
        <f>IFERROR(__xludf.DUMMYFUNCTION("""COMPUTED_VALUE"""),44708.0)</f>
        <v>44708</v>
      </c>
      <c r="K781" s="19" t="str">
        <f>IFERROR(__xludf.DUMMYFUNCTION("""COMPUTED_VALUE"""),"Entregada")</f>
        <v>Entregada</v>
      </c>
      <c r="L781" s="20">
        <f>IFERROR(__xludf.DUMMYFUNCTION("""COMPUTED_VALUE"""),44764.0)</f>
        <v>44764</v>
      </c>
      <c r="M781" s="19" t="str">
        <f>IFERROR(__xludf.DUMMYFUNCTION("""COMPUTED_VALUE"""),"LLOO")</f>
        <v>LLOO</v>
      </c>
      <c r="N781" s="19" t="str">
        <f>IFERROR(__xludf.DUMMYFUNCTION("""COMPUTED_VALUE"""),"PRIORIDAD 1 Q3 2023 OCTUBRE")</f>
        <v>PRIORIDAD 1 Q3 2023 OCTUBRE</v>
      </c>
    </row>
    <row r="782" ht="15.75" customHeight="1">
      <c r="A782" s="19" t="str">
        <f>IFERROR(__xludf.DUMMYFUNCTION("""COMPUTED_VALUE"""),"AB_9693")</f>
        <v>AB_9693</v>
      </c>
      <c r="B782" s="19" t="str">
        <f>IFERROR(__xludf.DUMMYFUNCTION("""COMPUTED_VALUE"""),"AB_9693_A")</f>
        <v>AB_9693_A</v>
      </c>
      <c r="C782" s="19" t="str">
        <f>IFERROR(__xludf.DUMMYFUNCTION("""COMPUTED_VALUE"""),"OH9693")</f>
        <v>OH9693</v>
      </c>
      <c r="D782" s="19" t="str">
        <f>IFERROR(__xludf.DUMMYFUNCTION("""COMPUTED_VALUE"""),"El Cajon Litueche")</f>
        <v>El Cajon Litueche</v>
      </c>
      <c r="E782" s="19" t="str">
        <f>IFERROR(__xludf.DUMMYFUNCTION("""COMPUTED_VALUE"""),"SITIO RFI")</f>
        <v>SITIO RFI</v>
      </c>
      <c r="F782" s="19" t="str">
        <f>IFERROR(__xludf.DUMMYFUNCTION("""COMPUTED_VALUE"""),"RFI")</f>
        <v>RFI</v>
      </c>
      <c r="G782" s="19" t="str">
        <f>IFERROR(__xludf.DUMMYFUNCTION("""COMPUTED_VALUE"""),"AS60")</f>
        <v>AS60</v>
      </c>
      <c r="H782" s="19" t="str">
        <f>IFERROR(__xludf.DUMMYFUNCTION("""COMPUTED_VALUE"""),"ADM")</f>
        <v>ADM</v>
      </c>
      <c r="I782" s="19" t="str">
        <f>IFERROR(__xludf.DUMMYFUNCTION("""COMPUTED_VALUE"""),"Entregada")</f>
        <v>Entregada</v>
      </c>
      <c r="J782" s="20">
        <f>IFERROR(__xludf.DUMMYFUNCTION("""COMPUTED_VALUE"""),44750.0)</f>
        <v>44750</v>
      </c>
      <c r="K782" s="19" t="str">
        <f>IFERROR(__xludf.DUMMYFUNCTION("""COMPUTED_VALUE"""),"Entregada")</f>
        <v>Entregada</v>
      </c>
      <c r="L782" s="20">
        <f>IFERROR(__xludf.DUMMYFUNCTION("""COMPUTED_VALUE"""),44890.0)</f>
        <v>44890</v>
      </c>
      <c r="M782" s="19" t="str">
        <f>IFERROR(__xludf.DUMMYFUNCTION("""COMPUTED_VALUE"""),"LLOO")</f>
        <v>LLOO</v>
      </c>
      <c r="N782" s="19" t="str">
        <f>IFERROR(__xludf.DUMMYFUNCTION("""COMPUTED_VALUE"""),"PRIORIDAD 1 Q3 2023 OCTUBRE")</f>
        <v>PRIORIDAD 1 Q3 2023 OCTUBRE</v>
      </c>
    </row>
    <row r="783" ht="15.75" customHeight="1">
      <c r="A783" s="19" t="str">
        <f>IFERROR(__xludf.DUMMYFUNCTION("""COMPUTED_VALUE"""),"AB_9696")</f>
        <v>AB_9696</v>
      </c>
      <c r="B783" s="19" t="str">
        <f>IFERROR(__xludf.DUMMYFUNCTION("""COMPUTED_VALUE"""),"AB_9696_D")</f>
        <v>AB_9696_D</v>
      </c>
      <c r="C783" s="19" t="str">
        <f>IFERROR(__xludf.DUMMYFUNCTION("""COMPUTED_VALUE"""),"OH9696")</f>
        <v>OH9696</v>
      </c>
      <c r="D783" s="19" t="str">
        <f>IFERROR(__xludf.DUMMYFUNCTION("""COMPUTED_VALUE"""),"Laguna El Barro")</f>
        <v>Laguna El Barro</v>
      </c>
      <c r="E783" s="19" t="str">
        <f>IFERROR(__xludf.DUMMYFUNCTION("""COMPUTED_VALUE"""),"SITIO RFI")</f>
        <v>SITIO RFI</v>
      </c>
      <c r="F783" s="19" t="str">
        <f>IFERROR(__xludf.DUMMYFUNCTION("""COMPUTED_VALUE"""),"RFI")</f>
        <v>RFI</v>
      </c>
      <c r="G783" s="19" t="str">
        <f>IFERROR(__xludf.DUMMYFUNCTION("""COMPUTED_VALUE"""),"MP R40")</f>
        <v>MP R40</v>
      </c>
      <c r="H783" s="19" t="str">
        <f>IFERROR(__xludf.DUMMYFUNCTION("""COMPUTED_VALUE"""),"DEITEL")</f>
        <v>DEITEL</v>
      </c>
      <c r="I783" s="19" t="str">
        <f>IFERROR(__xludf.DUMMYFUNCTION("""COMPUTED_VALUE"""),"Entregada")</f>
        <v>Entregada</v>
      </c>
      <c r="J783" s="20">
        <f>IFERROR(__xludf.DUMMYFUNCTION("""COMPUTED_VALUE"""),44918.0)</f>
        <v>44918</v>
      </c>
      <c r="K783" s="19" t="str">
        <f>IFERROR(__xludf.DUMMYFUNCTION("""COMPUTED_VALUE"""),"Entregada")</f>
        <v>Entregada</v>
      </c>
      <c r="L783" s="20">
        <f>IFERROR(__xludf.DUMMYFUNCTION("""COMPUTED_VALUE"""),44995.0)</f>
        <v>44995</v>
      </c>
      <c r="M783" s="19" t="str">
        <f>IFERROR(__xludf.DUMMYFUNCTION("""COMPUTED_VALUE"""),"LLOO")</f>
        <v>LLOO</v>
      </c>
      <c r="N783" s="19" t="str">
        <f>IFERROR(__xludf.DUMMYFUNCTION("""COMPUTED_VALUE"""),"PRIORIDAD 1 Q3 2023 OCTUBRE")</f>
        <v>PRIORIDAD 1 Q3 2023 OCTUBRE</v>
      </c>
    </row>
    <row r="784" ht="15.75" customHeight="1">
      <c r="A784" s="19" t="str">
        <f>IFERROR(__xludf.DUMMYFUNCTION("""COMPUTED_VALUE"""),"AB_9700")</f>
        <v>AB_9700</v>
      </c>
      <c r="B784" s="19" t="str">
        <f>IFERROR(__xludf.DUMMYFUNCTION("""COMPUTED_VALUE"""),"AB_9700_C")</f>
        <v>AB_9700_C</v>
      </c>
      <c r="C784" s="19" t="str">
        <f>IFERROR(__xludf.DUMMYFUNCTION("""COMPUTED_VALUE"""),"OH9700")</f>
        <v>OH9700</v>
      </c>
      <c r="D784" s="19" t="str">
        <f>IFERROR(__xludf.DUMMYFUNCTION("""COMPUTED_VALUE"""),"Las Peñas San Fernando")</f>
        <v>Las Peñas San Fernando</v>
      </c>
      <c r="E784" s="19" t="str">
        <f>IFERROR(__xludf.DUMMYFUNCTION("""COMPUTED_VALUE"""),"SITIO RFI")</f>
        <v>SITIO RFI</v>
      </c>
      <c r="F784" s="19" t="str">
        <f>IFERROR(__xludf.DUMMYFUNCTION("""COMPUTED_VALUE"""),"RFI")</f>
        <v>RFI</v>
      </c>
      <c r="G784" s="19" t="str">
        <f>IFERROR(__xludf.DUMMYFUNCTION("""COMPUTED_VALUE"""),"CV60")</f>
        <v>CV60</v>
      </c>
      <c r="H784" s="19" t="str">
        <f>IFERROR(__xludf.DUMMYFUNCTION("""COMPUTED_VALUE"""),"DEPROMET")</f>
        <v>DEPROMET</v>
      </c>
      <c r="I784" s="19" t="str">
        <f>IFERROR(__xludf.DUMMYFUNCTION("""COMPUTED_VALUE"""),"Entregada")</f>
        <v>Entregada</v>
      </c>
      <c r="J784" s="20">
        <f>IFERROR(__xludf.DUMMYFUNCTION("""COMPUTED_VALUE"""),44839.0)</f>
        <v>44839</v>
      </c>
      <c r="K784" s="19" t="str">
        <f>IFERROR(__xludf.DUMMYFUNCTION("""COMPUTED_VALUE"""),"Entregada")</f>
        <v>Entregada</v>
      </c>
      <c r="L784" s="20">
        <f>IFERROR(__xludf.DUMMYFUNCTION("""COMPUTED_VALUE"""),44881.0)</f>
        <v>44881</v>
      </c>
      <c r="M784" s="19" t="str">
        <f>IFERROR(__xludf.DUMMYFUNCTION("""COMPUTED_VALUE"""),"LLOO")</f>
        <v>LLOO</v>
      </c>
      <c r="N784" s="19" t="str">
        <f>IFERROR(__xludf.DUMMYFUNCTION("""COMPUTED_VALUE"""),"PRIORIDAD 1 Q3 2023 OCTUBRE")</f>
        <v>PRIORIDAD 1 Q3 2023 OCTUBRE</v>
      </c>
    </row>
    <row r="785" ht="15.75" customHeight="1">
      <c r="A785" s="19" t="str">
        <f>IFERROR(__xludf.DUMMYFUNCTION("""COMPUTED_VALUE"""),"AB_9718")</f>
        <v>AB_9718</v>
      </c>
      <c r="B785" s="19" t="str">
        <f>IFERROR(__xludf.DUMMYFUNCTION("""COMPUTED_VALUE"""),"AB_9718_E")</f>
        <v>AB_9718_E</v>
      </c>
      <c r="C785" s="19" t="str">
        <f>IFERROR(__xludf.DUMMYFUNCTION("""COMPUTED_VALUE"""),"OH9718")</f>
        <v>OH9718</v>
      </c>
      <c r="D785" s="19" t="str">
        <f>IFERROR(__xludf.DUMMYFUNCTION("""COMPUTED_VALUE"""),"La Lajuela")</f>
        <v>La Lajuela</v>
      </c>
      <c r="E785" s="19" t="str">
        <f>IFERROR(__xludf.DUMMYFUNCTION("""COMPUTED_VALUE"""),"SITIO RFI")</f>
        <v>SITIO RFI</v>
      </c>
      <c r="F785" s="19" t="str">
        <f>IFERROR(__xludf.DUMMYFUNCTION("""COMPUTED_VALUE"""),"RFI")</f>
        <v>RFI</v>
      </c>
      <c r="G785" s="19" t="str">
        <f>IFERROR(__xludf.DUMMYFUNCTION("""COMPUTED_VALUE"""),"AS60")</f>
        <v>AS60</v>
      </c>
      <c r="H785" s="19" t="str">
        <f>IFERROR(__xludf.DUMMYFUNCTION("""COMPUTED_VALUE"""),"ADM")</f>
        <v>ADM</v>
      </c>
      <c r="I785" s="19" t="str">
        <f>IFERROR(__xludf.DUMMYFUNCTION("""COMPUTED_VALUE"""),"Entregada")</f>
        <v>Entregada</v>
      </c>
      <c r="J785" s="20">
        <f>IFERROR(__xludf.DUMMYFUNCTION("""COMPUTED_VALUE"""),44750.0)</f>
        <v>44750</v>
      </c>
      <c r="K785" s="19" t="str">
        <f>IFERROR(__xludf.DUMMYFUNCTION("""COMPUTED_VALUE"""),"Entregada")</f>
        <v>Entregada</v>
      </c>
      <c r="L785" s="20">
        <f>IFERROR(__xludf.DUMMYFUNCTION("""COMPUTED_VALUE"""),44890.0)</f>
        <v>44890</v>
      </c>
      <c r="M785" s="19" t="str">
        <f>IFERROR(__xludf.DUMMYFUNCTION("""COMPUTED_VALUE"""),"LLOO")</f>
        <v>LLOO</v>
      </c>
      <c r="N785" s="19" t="str">
        <f>IFERROR(__xludf.DUMMYFUNCTION("""COMPUTED_VALUE"""),"PRIORIDAD 1 Q3 2023 OCTUBRE")</f>
        <v>PRIORIDAD 1 Q3 2023 OCTUBRE</v>
      </c>
    </row>
    <row r="786" ht="15.75" customHeight="1">
      <c r="A786" s="19" t="str">
        <f>IFERROR(__xludf.DUMMYFUNCTION("""COMPUTED_VALUE"""),"AB_9757")</f>
        <v>AB_9757</v>
      </c>
      <c r="B786" s="19" t="str">
        <f>IFERROR(__xludf.DUMMYFUNCTION("""COMPUTED_VALUE"""),"AB_9757_D")</f>
        <v>AB_9757_D</v>
      </c>
      <c r="C786" s="19" t="str">
        <f>IFERROR(__xludf.DUMMYFUNCTION("""COMPUTED_VALUE"""),"OH9757")</f>
        <v>OH9757</v>
      </c>
      <c r="D786" s="19" t="str">
        <f>IFERROR(__xludf.DUMMYFUNCTION("""COMPUTED_VALUE"""),"Santa Amelia de Almahue")</f>
        <v>Santa Amelia de Almahue</v>
      </c>
      <c r="E786" s="19" t="str">
        <f>IFERROR(__xludf.DUMMYFUNCTION("""COMPUTED_VALUE"""),"SITIO RFI")</f>
        <v>SITIO RFI</v>
      </c>
      <c r="F786" s="19" t="str">
        <f>IFERROR(__xludf.DUMMYFUNCTION("""COMPUTED_VALUE"""),"RFI")</f>
        <v>RFI</v>
      </c>
      <c r="G786" s="19" t="str">
        <f>IFERROR(__xludf.DUMMYFUNCTION("""COMPUTED_VALUE"""),"AS60")</f>
        <v>AS60</v>
      </c>
      <c r="H786" s="19" t="str">
        <f>IFERROR(__xludf.DUMMYFUNCTION("""COMPUTED_VALUE"""),"MER")</f>
        <v>MER</v>
      </c>
      <c r="I786" s="19" t="str">
        <f>IFERROR(__xludf.DUMMYFUNCTION("""COMPUTED_VALUE"""),"Entregada")</f>
        <v>Entregada</v>
      </c>
      <c r="J786" s="20">
        <f>IFERROR(__xludf.DUMMYFUNCTION("""COMPUTED_VALUE"""),44862.0)</f>
        <v>44862</v>
      </c>
      <c r="K786" s="19" t="str">
        <f>IFERROR(__xludf.DUMMYFUNCTION("""COMPUTED_VALUE"""),"Entregada")</f>
        <v>Entregada</v>
      </c>
      <c r="L786" s="20">
        <f>IFERROR(__xludf.DUMMYFUNCTION("""COMPUTED_VALUE"""),44953.0)</f>
        <v>44953</v>
      </c>
      <c r="M786" s="19" t="str">
        <f>IFERROR(__xludf.DUMMYFUNCTION("""COMPUTED_VALUE"""),"LLOO")</f>
        <v>LLOO</v>
      </c>
      <c r="N786" s="19" t="str">
        <f>IFERROR(__xludf.DUMMYFUNCTION("""COMPUTED_VALUE"""),"PRIORIDAD 1 Q3 2023 OCTUBRE")</f>
        <v>PRIORIDAD 1 Q3 2023 OCTUBRE</v>
      </c>
    </row>
    <row r="787" ht="15.75" customHeight="1">
      <c r="A787" s="19" t="str">
        <f>IFERROR(__xludf.DUMMYFUNCTION("""COMPUTED_VALUE"""),"AB_9769")</f>
        <v>AB_9769</v>
      </c>
      <c r="B787" s="19" t="str">
        <f>IFERROR(__xludf.DUMMYFUNCTION("""COMPUTED_VALUE"""),"AB_9769_A")</f>
        <v>AB_9769_A</v>
      </c>
      <c r="C787" s="19" t="str">
        <f>IFERROR(__xludf.DUMMYFUNCTION("""COMPUTED_VALUE"""),"OH9769")</f>
        <v>OH9769</v>
      </c>
      <c r="D787" s="19" t="str">
        <f>IFERROR(__xludf.DUMMYFUNCTION("""COMPUTED_VALUE"""),"Toquihua")</f>
        <v>Toquihua</v>
      </c>
      <c r="E787" s="19" t="str">
        <f>IFERROR(__xludf.DUMMYFUNCTION("""COMPUTED_VALUE"""),"SITIO EN CONSTRUCCION")</f>
        <v>SITIO EN CONSTRUCCION</v>
      </c>
      <c r="F787" s="19" t="str">
        <f>IFERROR(__xludf.DUMMYFUNCTION("""COMPUTED_VALUE"""),"VISITA")</f>
        <v>VISITA</v>
      </c>
      <c r="G787" s="19" t="str">
        <f>IFERROR(__xludf.DUMMYFUNCTION("""COMPUTED_VALUE"""),"AS60")</f>
        <v>AS60</v>
      </c>
      <c r="H787" s="19" t="str">
        <f>IFERROR(__xludf.DUMMYFUNCTION("""COMPUTED_VALUE"""),"MER")</f>
        <v>MER</v>
      </c>
      <c r="I787" s="19" t="str">
        <f>IFERROR(__xludf.DUMMYFUNCTION("""COMPUTED_VALUE"""),"Terminada")</f>
        <v>Terminada</v>
      </c>
      <c r="J787" s="20">
        <f>IFERROR(__xludf.DUMMYFUNCTION("""COMPUTED_VALUE"""),44876.0)</f>
        <v>44876</v>
      </c>
      <c r="K787" s="19" t="str">
        <f>IFERROR(__xludf.DUMMYFUNCTION("""COMPUTED_VALUE"""),"Por pintar ")</f>
        <v>Por pintar </v>
      </c>
      <c r="L787" s="20">
        <f>IFERROR(__xludf.DUMMYFUNCTION("""COMPUTED_VALUE"""),44904.0)</f>
        <v>44904</v>
      </c>
      <c r="M787" s="19" t="str">
        <f>IFERROR(__xludf.DUMMYFUNCTION("""COMPUTED_VALUE"""),"LLOO")</f>
        <v>LLOO</v>
      </c>
      <c r="N787" s="19" t="str">
        <f>IFERROR(__xludf.DUMMYFUNCTION("""COMPUTED_VALUE"""),"PRIORIDAD 3 Q1 2024 MARZO")</f>
        <v>PRIORIDAD 3 Q1 2024 MARZO</v>
      </c>
    </row>
    <row r="788" ht="15.75" customHeight="1">
      <c r="A788" s="19" t="str">
        <f>IFERROR(__xludf.DUMMYFUNCTION("""COMPUTED_VALUE"""),"AB_9774")</f>
        <v>AB_9774</v>
      </c>
      <c r="B788" s="19" t="str">
        <f>IFERROR(__xludf.DUMMYFUNCTION("""COMPUTED_VALUE"""),"AB_9774_A")</f>
        <v>AB_9774_A</v>
      </c>
      <c r="C788" s="19" t="str">
        <f>IFERROR(__xludf.DUMMYFUNCTION("""COMPUTED_VALUE"""),"OH9774")</f>
        <v>OH9774</v>
      </c>
      <c r="D788" s="19" t="str">
        <f>IFERROR(__xludf.DUMMYFUNCTION("""COMPUTED_VALUE"""),"La Poblacion Paredones")</f>
        <v>La Poblacion Paredones</v>
      </c>
      <c r="E788" s="19" t="str">
        <f>IFERROR(__xludf.DUMMYFUNCTION("""COMPUTED_VALUE"""),"SITIO RFI")</f>
        <v>SITIO RFI</v>
      </c>
      <c r="F788" s="19" t="str">
        <f>IFERROR(__xludf.DUMMYFUNCTION("""COMPUTED_VALUE"""),"RFI")</f>
        <v>RFI</v>
      </c>
      <c r="G788" s="19" t="str">
        <f>IFERROR(__xludf.DUMMYFUNCTION("""COMPUTED_VALUE"""),"AS60")</f>
        <v>AS60</v>
      </c>
      <c r="H788" s="19" t="str">
        <f>IFERROR(__xludf.DUMMYFUNCTION("""COMPUTED_VALUE"""),"MER")</f>
        <v>MER</v>
      </c>
      <c r="I788" s="19" t="str">
        <f>IFERROR(__xludf.DUMMYFUNCTION("""COMPUTED_VALUE"""),"Entregada")</f>
        <v>Entregada</v>
      </c>
      <c r="J788" s="20">
        <f>IFERROR(__xludf.DUMMYFUNCTION("""COMPUTED_VALUE"""),44722.0)</f>
        <v>44722</v>
      </c>
      <c r="K788" s="19" t="str">
        <f>IFERROR(__xludf.DUMMYFUNCTION("""COMPUTED_VALUE"""),"Entregada")</f>
        <v>Entregada</v>
      </c>
      <c r="L788" s="20">
        <f>IFERROR(__xludf.DUMMYFUNCTION("""COMPUTED_VALUE"""),44743.0)</f>
        <v>44743</v>
      </c>
      <c r="M788" s="19" t="str">
        <f>IFERROR(__xludf.DUMMYFUNCTION("""COMPUTED_VALUE"""),"LLOO")</f>
        <v>LLOO</v>
      </c>
      <c r="N788" s="19" t="str">
        <f>IFERROR(__xludf.DUMMYFUNCTION("""COMPUTED_VALUE"""),"PRIORIDAD 1 Q3 2023 OCTUBRE")</f>
        <v>PRIORIDAD 1 Q3 2023 OCTUBRE</v>
      </c>
    </row>
    <row r="789" ht="15.75" customHeight="1">
      <c r="A789" s="19" t="str">
        <f>IFERROR(__xludf.DUMMYFUNCTION("""COMPUTED_VALUE"""),"AB_9739")</f>
        <v>AB_9739</v>
      </c>
      <c r="B789" s="19" t="str">
        <f>IFERROR(__xludf.DUMMYFUNCTION("""COMPUTED_VALUE"""),"AB_9739_B")</f>
        <v>AB_9739_B</v>
      </c>
      <c r="C789" s="19" t="str">
        <f>IFERROR(__xludf.DUMMYFUNCTION("""COMPUTED_VALUE"""),"NU9739")</f>
        <v>NU9739</v>
      </c>
      <c r="D789" s="19" t="str">
        <f>IFERROR(__xludf.DUMMYFUNCTION("""COMPUTED_VALUE"""),"Camino Los Pellines")</f>
        <v>Camino Los Pellines</v>
      </c>
      <c r="E789" s="19" t="str">
        <f>IFERROR(__xludf.DUMMYFUNCTION("""COMPUTED_VALUE"""),"SITIO RFI")</f>
        <v>SITIO RFI</v>
      </c>
      <c r="F789" s="19" t="str">
        <f>IFERROR(__xludf.DUMMYFUNCTION("""COMPUTED_VALUE"""),"CIERRE")</f>
        <v>CIERRE</v>
      </c>
      <c r="G789" s="19" t="str">
        <f>IFERROR(__xludf.DUMMYFUNCTION("""COMPUTED_VALUE"""),"CV42")</f>
        <v>CV42</v>
      </c>
      <c r="H789" s="19" t="str">
        <f>IFERROR(__xludf.DUMMYFUNCTION("""COMPUTED_VALUE"""),"DEPROMET")</f>
        <v>DEPROMET</v>
      </c>
      <c r="I789" s="19" t="str">
        <f>IFERROR(__xludf.DUMMYFUNCTION("""COMPUTED_VALUE"""),"Entregada")</f>
        <v>Entregada</v>
      </c>
      <c r="J789" s="20">
        <f>IFERROR(__xludf.DUMMYFUNCTION("""COMPUTED_VALUE"""),44764.0)</f>
        <v>44764</v>
      </c>
      <c r="K789" s="19" t="str">
        <f>IFERROR(__xludf.DUMMYFUNCTION("""COMPUTED_VALUE"""),"Entregada")</f>
        <v>Entregada</v>
      </c>
      <c r="L789" s="20">
        <f>IFERROR(__xludf.DUMMYFUNCTION("""COMPUTED_VALUE"""),44785.0)</f>
        <v>44785</v>
      </c>
      <c r="M789" s="19" t="str">
        <f>IFERROR(__xludf.DUMMYFUNCTION("""COMPUTED_VALUE"""),"LLOO")</f>
        <v>LLOO</v>
      </c>
      <c r="N789" s="19" t="str">
        <f>IFERROR(__xludf.DUMMYFUNCTION("""COMPUTED_VALUE"""),"PRIORIDAD 1 Q3 2023 OCTUBRE")</f>
        <v>PRIORIDAD 1 Q3 2023 OCTUBRE</v>
      </c>
    </row>
    <row r="790" ht="15.75" customHeight="1">
      <c r="A790" s="19" t="str">
        <f>IFERROR(__xludf.DUMMYFUNCTION("""COMPUTED_VALUE"""),"AB_9841")</f>
        <v>AB_9841</v>
      </c>
      <c r="B790" s="19" t="str">
        <f>IFERROR(__xludf.DUMMYFUNCTION("""COMPUTED_VALUE"""),"AB_9841_E")</f>
        <v>AB_9841_E</v>
      </c>
      <c r="C790" s="19" t="str">
        <f>IFERROR(__xludf.DUMMYFUNCTION("""COMPUTED_VALUE"""),"OH9841")</f>
        <v>OH9841</v>
      </c>
      <c r="D790" s="19" t="str">
        <f>IFERROR(__xludf.DUMMYFUNCTION("""COMPUTED_VALUE"""),"El Rulo Coinco")</f>
        <v>El Rulo Coinco</v>
      </c>
      <c r="E790" s="19" t="str">
        <f>IFERROR(__xludf.DUMMYFUNCTION("""COMPUTED_VALUE"""),"SITIO RFI")</f>
        <v>SITIO RFI</v>
      </c>
      <c r="F790" s="19" t="str">
        <f>IFERROR(__xludf.DUMMYFUNCTION("""COMPUTED_VALUE"""),"RFI")</f>
        <v>RFI</v>
      </c>
      <c r="G790" s="19" t="str">
        <f>IFERROR(__xludf.DUMMYFUNCTION("""COMPUTED_VALUE"""),"AS60")</f>
        <v>AS60</v>
      </c>
      <c r="H790" s="19" t="str">
        <f>IFERROR(__xludf.DUMMYFUNCTION("""COMPUTED_VALUE"""),"MER")</f>
        <v>MER</v>
      </c>
      <c r="I790" s="19" t="str">
        <f>IFERROR(__xludf.DUMMYFUNCTION("""COMPUTED_VALUE"""),"Entregada")</f>
        <v>Entregada</v>
      </c>
      <c r="J790" s="20">
        <f>IFERROR(__xludf.DUMMYFUNCTION("""COMPUTED_VALUE"""),44693.0)</f>
        <v>44693</v>
      </c>
      <c r="K790" s="19" t="str">
        <f>IFERROR(__xludf.DUMMYFUNCTION("""COMPUTED_VALUE"""),"Entregada")</f>
        <v>Entregada</v>
      </c>
      <c r="L790" s="20">
        <f>IFERROR(__xludf.DUMMYFUNCTION("""COMPUTED_VALUE"""),44708.0)</f>
        <v>44708</v>
      </c>
      <c r="M790" s="19" t="str">
        <f>IFERROR(__xludf.DUMMYFUNCTION("""COMPUTED_VALUE"""),"PCM")</f>
        <v>PCM</v>
      </c>
      <c r="N790" s="19" t="str">
        <f>IFERROR(__xludf.DUMMYFUNCTION("""COMPUTED_VALUE"""),"PRIORIDAD 1 Q3 2023 OCTUBRE")</f>
        <v>PRIORIDAD 1 Q3 2023 OCTUBRE</v>
      </c>
    </row>
    <row r="791" ht="15.75" customHeight="1">
      <c r="A791" s="19" t="str">
        <f>IFERROR(__xludf.DUMMYFUNCTION("""COMPUTED_VALUE"""),"AB_9842")</f>
        <v>AB_9842</v>
      </c>
      <c r="B791" s="19" t="str">
        <f>IFERROR(__xludf.DUMMYFUNCTION("""COMPUTED_VALUE"""),"AB_9842_F")</f>
        <v>AB_9842_F</v>
      </c>
      <c r="C791" s="19" t="str">
        <f>IFERROR(__xludf.DUMMYFUNCTION("""COMPUTED_VALUE"""),"OH9842")</f>
        <v>OH9842</v>
      </c>
      <c r="D791" s="19" t="str">
        <f>IFERROR(__xludf.DUMMYFUNCTION("""COMPUTED_VALUE"""),"Chancon")</f>
        <v>Chancon</v>
      </c>
      <c r="E791" s="19" t="str">
        <f>IFERROR(__xludf.DUMMYFUNCTION("""COMPUTED_VALUE"""),"SITIO RFI")</f>
        <v>SITIO RFI</v>
      </c>
      <c r="F791" s="19" t="str">
        <f>IFERROR(__xludf.DUMMYFUNCTION("""COMPUTED_VALUE"""),"RFI")</f>
        <v>RFI</v>
      </c>
      <c r="G791" s="19" t="str">
        <f>IFERROR(__xludf.DUMMYFUNCTION("""COMPUTED_VALUE"""),"AS48")</f>
        <v>AS48</v>
      </c>
      <c r="H791" s="19" t="str">
        <f>IFERROR(__xludf.DUMMYFUNCTION("""COMPUTED_VALUE"""),"ADM")</f>
        <v>ADM</v>
      </c>
      <c r="I791" s="19" t="str">
        <f>IFERROR(__xludf.DUMMYFUNCTION("""COMPUTED_VALUE"""),"Entregada")</f>
        <v>Entregada</v>
      </c>
      <c r="J791" s="20">
        <f>IFERROR(__xludf.DUMMYFUNCTION("""COMPUTED_VALUE"""),44750.0)</f>
        <v>44750</v>
      </c>
      <c r="K791" s="19" t="str">
        <f>IFERROR(__xludf.DUMMYFUNCTION("""COMPUTED_VALUE"""),"Entregada")</f>
        <v>Entregada</v>
      </c>
      <c r="L791" s="20">
        <f>IFERROR(__xludf.DUMMYFUNCTION("""COMPUTED_VALUE"""),44785.0)</f>
        <v>44785</v>
      </c>
      <c r="M791" s="19" t="str">
        <f>IFERROR(__xludf.DUMMYFUNCTION("""COMPUTED_VALUE"""),"PCM")</f>
        <v>PCM</v>
      </c>
      <c r="N791" s="19" t="str">
        <f>IFERROR(__xludf.DUMMYFUNCTION("""COMPUTED_VALUE"""),"PRIORIDAD 1 Q3 2023 OCTUBRE")</f>
        <v>PRIORIDAD 1 Q3 2023 OCTUBRE</v>
      </c>
    </row>
    <row r="792" ht="15.75" customHeight="1">
      <c r="A792" s="19" t="str">
        <f>IFERROR(__xludf.DUMMYFUNCTION("""COMPUTED_VALUE"""),"AB_9844")</f>
        <v>AB_9844</v>
      </c>
      <c r="B792" s="19" t="str">
        <f>IFERROR(__xludf.DUMMYFUNCTION("""COMPUTED_VALUE"""),"AB_9844_B")</f>
        <v>AB_9844_B</v>
      </c>
      <c r="C792" s="19" t="str">
        <f>IFERROR(__xludf.DUMMYFUNCTION("""COMPUTED_VALUE"""),"OH9844")</f>
        <v>OH9844</v>
      </c>
      <c r="D792" s="19" t="str">
        <f>IFERROR(__xludf.DUMMYFUNCTION("""COMPUTED_VALUE"""),"Apalta")</f>
        <v>Apalta</v>
      </c>
      <c r="E792" s="19" t="str">
        <f>IFERROR(__xludf.DUMMYFUNCTION("""COMPUTED_VALUE"""),"SITIO RFI")</f>
        <v>SITIO RFI</v>
      </c>
      <c r="F792" s="19" t="str">
        <f>IFERROR(__xludf.DUMMYFUNCTION("""COMPUTED_VALUE"""),"RFI")</f>
        <v>RFI</v>
      </c>
      <c r="G792" s="19" t="str">
        <f>IFERROR(__xludf.DUMMYFUNCTION("""COMPUTED_VALUE"""),"AS60")</f>
        <v>AS60</v>
      </c>
      <c r="H792" s="19" t="str">
        <f>IFERROR(__xludf.DUMMYFUNCTION("""COMPUTED_VALUE"""),"ADM")</f>
        <v>ADM</v>
      </c>
      <c r="I792" s="19" t="str">
        <f>IFERROR(__xludf.DUMMYFUNCTION("""COMPUTED_VALUE"""),"Entregada")</f>
        <v>Entregada</v>
      </c>
      <c r="J792" s="20">
        <f>IFERROR(__xludf.DUMMYFUNCTION("""COMPUTED_VALUE"""),44750.0)</f>
        <v>44750</v>
      </c>
      <c r="K792" s="19" t="str">
        <f>IFERROR(__xludf.DUMMYFUNCTION("""COMPUTED_VALUE"""),"Entregada")</f>
        <v>Entregada</v>
      </c>
      <c r="L792" s="20">
        <f>IFERROR(__xludf.DUMMYFUNCTION("""COMPUTED_VALUE"""),44890.0)</f>
        <v>44890</v>
      </c>
      <c r="M792" s="19" t="str">
        <f>IFERROR(__xludf.DUMMYFUNCTION("""COMPUTED_VALUE"""),"LLOO")</f>
        <v>LLOO</v>
      </c>
      <c r="N792" s="19" t="str">
        <f>IFERROR(__xludf.DUMMYFUNCTION("""COMPUTED_VALUE"""),"PRIORIDAD 1 Q3 2023 OCTUBRE")</f>
        <v>PRIORIDAD 1 Q3 2023 OCTUBRE</v>
      </c>
    </row>
    <row r="793" ht="15.75" customHeight="1">
      <c r="A793" s="19" t="str">
        <f>IFERROR(__xludf.DUMMYFUNCTION("""COMPUTED_VALUE"""),"AB_0135")</f>
        <v>AB_0135</v>
      </c>
      <c r="B793" s="19" t="str">
        <f>IFERROR(__xludf.DUMMYFUNCTION("""COMPUTED_VALUE"""),"AB_0135_M")</f>
        <v>AB_0135_M</v>
      </c>
      <c r="C793" s="19" t="str">
        <f>IFERROR(__xludf.DUMMYFUNCTION("""COMPUTED_VALUE"""),"RM0135")</f>
        <v>RM0135</v>
      </c>
      <c r="D793" s="19" t="str">
        <f>IFERROR(__xludf.DUMMYFUNCTION("""COMPUTED_VALUE"""),"Los Canelos Curacavi")</f>
        <v>Los Canelos Curacavi</v>
      </c>
      <c r="E793" s="19" t="str">
        <f>IFERROR(__xludf.DUMMYFUNCTION("""COMPUTED_VALUE"""),"SITIO RFI")</f>
        <v>SITIO RFI</v>
      </c>
      <c r="F793" s="19" t="str">
        <f>IFERROR(__xludf.DUMMYFUNCTION("""COMPUTED_VALUE"""),"RFI")</f>
        <v>RFI</v>
      </c>
      <c r="G793" s="19" t="str">
        <f>IFERROR(__xludf.DUMMYFUNCTION("""COMPUTED_VALUE"""),"AS48")</f>
        <v>AS48</v>
      </c>
      <c r="H793" s="19" t="str">
        <f>IFERROR(__xludf.DUMMYFUNCTION("""COMPUTED_VALUE"""),"MER")</f>
        <v>MER</v>
      </c>
      <c r="I793" s="19" t="str">
        <f>IFERROR(__xludf.DUMMYFUNCTION("""COMPUTED_VALUE"""),"Entregada")</f>
        <v>Entregada</v>
      </c>
      <c r="J793" s="20">
        <f>IFERROR(__xludf.DUMMYFUNCTION("""COMPUTED_VALUE"""),44722.0)</f>
        <v>44722</v>
      </c>
      <c r="K793" s="19" t="str">
        <f>IFERROR(__xludf.DUMMYFUNCTION("""COMPUTED_VALUE"""),"Entregada")</f>
        <v>Entregada</v>
      </c>
      <c r="L793" s="20">
        <f>IFERROR(__xludf.DUMMYFUNCTION("""COMPUTED_VALUE"""),44736.0)</f>
        <v>44736</v>
      </c>
      <c r="M793" s="19" t="str">
        <f>IFERROR(__xludf.DUMMYFUNCTION("""COMPUTED_VALUE"""),"PCM")</f>
        <v>PCM</v>
      </c>
      <c r="N793" s="19" t="str">
        <f>IFERROR(__xludf.DUMMYFUNCTION("""COMPUTED_VALUE"""),"PRIORIDAD 1 Q3 2023 OCTUBRE")</f>
        <v>PRIORIDAD 1 Q3 2023 OCTUBRE</v>
      </c>
    </row>
    <row r="794" ht="15.75" customHeight="1">
      <c r="A794" s="19" t="str">
        <f>IFERROR(__xludf.DUMMYFUNCTION("""COMPUTED_VALUE"""),"AB_0561")</f>
        <v>AB_0561</v>
      </c>
      <c r="B794" s="19" t="str">
        <f>IFERROR(__xludf.DUMMYFUNCTION("""COMPUTED_VALUE"""),"AB_0561_I")</f>
        <v>AB_0561_I</v>
      </c>
      <c r="C794" s="19" t="str">
        <f>IFERROR(__xludf.DUMMYFUNCTION("""COMPUTED_VALUE"""),"RM0561")</f>
        <v>RM0561</v>
      </c>
      <c r="D794" s="19" t="str">
        <f>IFERROR(__xludf.DUMMYFUNCTION("""COMPUTED_VALUE"""),"La Piramide 3")</f>
        <v>La Piramide 3</v>
      </c>
      <c r="E794" s="19" t="str">
        <f>IFERROR(__xludf.DUMMYFUNCTION("""COMPUTED_VALUE"""),"SITIO PENDIENTE")</f>
        <v>SITIO PENDIENTE</v>
      </c>
      <c r="F794" s="19"/>
      <c r="G794" s="19" t="str">
        <f>IFERROR(__xludf.DUMMYFUNCTION("""COMPUTED_VALUE"""),"MP R12")</f>
        <v>MP R12</v>
      </c>
      <c r="H794" s="19" t="str">
        <f>IFERROR(__xludf.DUMMYFUNCTION("""COMPUTED_VALUE"""),"COMPRAS")</f>
        <v>COMPRAS</v>
      </c>
      <c r="I794" s="19"/>
      <c r="J794" s="19"/>
      <c r="K794" s="19"/>
      <c r="L794" s="19"/>
      <c r="M794" s="19" t="str">
        <f>IFERROR(__xludf.DUMMYFUNCTION("""COMPUTED_VALUE"""),"PCM")</f>
        <v>PCM</v>
      </c>
      <c r="N794" s="19" t="str">
        <f>IFERROR(__xludf.DUMMYFUNCTION("""COMPUTED_VALUE"""),"PRIORIDAD 3 Q1 2024 MARZO")</f>
        <v>PRIORIDAD 3 Q1 2024 MARZO</v>
      </c>
    </row>
    <row r="795" ht="15.75" customHeight="1">
      <c r="A795" s="19" t="str">
        <f>IFERROR(__xludf.DUMMYFUNCTION("""COMPUTED_VALUE"""),"AB_0704")</f>
        <v>AB_0704</v>
      </c>
      <c r="B795" s="19" t="str">
        <f>IFERROR(__xludf.DUMMYFUNCTION("""COMPUTED_VALUE"""),"AB_0704_C")</f>
        <v>AB_0704_C</v>
      </c>
      <c r="C795" s="19" t="str">
        <f>IFERROR(__xludf.DUMMYFUNCTION("""COMPUTED_VALUE"""),"RM0704")</f>
        <v>RM0704</v>
      </c>
      <c r="D795" s="19" t="str">
        <f>IFERROR(__xludf.DUMMYFUNCTION("""COMPUTED_VALUE"""),"Las Brisas del Padre Hurtado")</f>
        <v>Las Brisas del Padre Hurtado</v>
      </c>
      <c r="E795" s="19" t="str">
        <f>IFERROR(__xludf.DUMMYFUNCTION("""COMPUTED_VALUE"""),"SITIO RFI")</f>
        <v>SITIO RFI</v>
      </c>
      <c r="F795" s="19" t="str">
        <f>IFERROR(__xludf.DUMMYFUNCTION("""COMPUTED_VALUE"""),"RFI")</f>
        <v>RFI</v>
      </c>
      <c r="G795" s="19" t="str">
        <f>IFERROR(__xludf.DUMMYFUNCTION("""COMPUTED_VALUE"""),"MP30")</f>
        <v>MP30</v>
      </c>
      <c r="H795" s="19" t="str">
        <f>IFERROR(__xludf.DUMMYFUNCTION("""COMPUTED_VALUE"""),"MER")</f>
        <v>MER</v>
      </c>
      <c r="I795" s="19" t="str">
        <f>IFERROR(__xludf.DUMMYFUNCTION("""COMPUTED_VALUE"""),"Entregada")</f>
        <v>Entregada</v>
      </c>
      <c r="J795" s="20">
        <f>IFERROR(__xludf.DUMMYFUNCTION("""COMPUTED_VALUE"""),44636.0)</f>
        <v>44636</v>
      </c>
      <c r="K795" s="19" t="str">
        <f>IFERROR(__xludf.DUMMYFUNCTION("""COMPUTED_VALUE"""),"Entregada")</f>
        <v>Entregada</v>
      </c>
      <c r="L795" s="20">
        <f>IFERROR(__xludf.DUMMYFUNCTION("""COMPUTED_VALUE"""),44655.0)</f>
        <v>44655</v>
      </c>
      <c r="M795" s="19" t="str">
        <f>IFERROR(__xludf.DUMMYFUNCTION("""COMPUTED_VALUE"""),"PCM")</f>
        <v>PCM</v>
      </c>
      <c r="N795" s="19" t="str">
        <f>IFERROR(__xludf.DUMMYFUNCTION("""COMPUTED_VALUE"""),"PRIORIDAD 1 Q3 2023 OCTUBRE")</f>
        <v>PRIORIDAD 1 Q3 2023 OCTUBRE</v>
      </c>
    </row>
    <row r="796" ht="15.75" customHeight="1">
      <c r="A796" s="19" t="str">
        <f>IFERROR(__xludf.DUMMYFUNCTION("""COMPUTED_VALUE"""),"AB_0811")</f>
        <v>AB_0811</v>
      </c>
      <c r="B796" s="19" t="str">
        <f>IFERROR(__xludf.DUMMYFUNCTION("""COMPUTED_VALUE"""),"AB_0811_C")</f>
        <v>AB_0811_C</v>
      </c>
      <c r="C796" s="19" t="str">
        <f>IFERROR(__xludf.DUMMYFUNCTION("""COMPUTED_VALUE"""),"RM0811")</f>
        <v>RM0811</v>
      </c>
      <c r="D796" s="19" t="str">
        <f>IFERROR(__xludf.DUMMYFUNCTION("""COMPUTED_VALUE"""),"Tunel Manquehue 2")</f>
        <v>Tunel Manquehue 2</v>
      </c>
      <c r="E796" s="19" t="str">
        <f>IFERROR(__xludf.DUMMYFUNCTION("""COMPUTED_VALUE"""),"SITIO PENDIENTE")</f>
        <v>SITIO PENDIENTE</v>
      </c>
      <c r="F796" s="19"/>
      <c r="G796" s="19" t="str">
        <f>IFERROR(__xludf.DUMMYFUNCTION("""COMPUTED_VALUE"""),"MP12")</f>
        <v>MP12</v>
      </c>
      <c r="H796" s="19" t="str">
        <f>IFERROR(__xludf.DUMMYFUNCTION("""COMPUTED_VALUE"""),"")</f>
        <v/>
      </c>
      <c r="I796" s="19" t="str">
        <f>IFERROR(__xludf.DUMMYFUNCTION("""COMPUTED_VALUE"""),"")</f>
        <v/>
      </c>
      <c r="J796" s="20" t="str">
        <f>IFERROR(__xludf.DUMMYFUNCTION("""COMPUTED_VALUE"""),"")</f>
        <v/>
      </c>
      <c r="K796" s="19" t="str">
        <f>IFERROR(__xludf.DUMMYFUNCTION("""COMPUTED_VALUE"""),"")</f>
        <v/>
      </c>
      <c r="L796" s="20" t="str">
        <f>IFERROR(__xludf.DUMMYFUNCTION("""COMPUTED_VALUE"""),"")</f>
        <v/>
      </c>
      <c r="M796" s="19" t="str">
        <f>IFERROR(__xludf.DUMMYFUNCTION("""COMPUTED_VALUE"""),"PCM")</f>
        <v>PCM</v>
      </c>
      <c r="N796" s="19" t="str">
        <f>IFERROR(__xludf.DUMMYFUNCTION("""COMPUTED_VALUE"""),"PRIORIDAD 3 Q1 2024 MARZO")</f>
        <v>PRIORIDAD 3 Q1 2024 MARZO</v>
      </c>
    </row>
    <row r="797" ht="15.75" customHeight="1">
      <c r="A797" s="19" t="str">
        <f>IFERROR(__xludf.DUMMYFUNCTION("""COMPUTED_VALUE"""),"AB_0915")</f>
        <v>AB_0915</v>
      </c>
      <c r="B797" s="19" t="str">
        <f>IFERROR(__xludf.DUMMYFUNCTION("""COMPUTED_VALUE"""),"AB_0915_E")</f>
        <v>AB_0915_E</v>
      </c>
      <c r="C797" s="19" t="str">
        <f>IFERROR(__xludf.DUMMYFUNCTION("""COMPUTED_VALUE"""),"RM0915")</f>
        <v>RM0915</v>
      </c>
      <c r="D797" s="19" t="str">
        <f>IFERROR(__xludf.DUMMYFUNCTION("""COMPUTED_VALUE"""),"Puerta del Sol")</f>
        <v>Puerta del Sol</v>
      </c>
      <c r="E797" s="19" t="str">
        <f>IFERROR(__xludf.DUMMYFUNCTION("""COMPUTED_VALUE"""),"SITIO PENDIENTE")</f>
        <v>SITIO PENDIENTE</v>
      </c>
      <c r="F797" s="19"/>
      <c r="G797" s="19" t="str">
        <f>IFERROR(__xludf.DUMMYFUNCTION("""COMPUTED_VALUE"""),"CV36")</f>
        <v>CV36</v>
      </c>
      <c r="H797" s="19" t="str">
        <f>IFERROR(__xludf.DUMMYFUNCTION("""COMPUTED_VALUE"""),"COMPRAS")</f>
        <v>COMPRAS</v>
      </c>
      <c r="I797" s="19"/>
      <c r="J797" s="19"/>
      <c r="K797" s="19"/>
      <c r="L797" s="19"/>
      <c r="M797" s="19" t="str">
        <f>IFERROR(__xludf.DUMMYFUNCTION("""COMPUTED_VALUE"""),"PCM")</f>
        <v>PCM</v>
      </c>
      <c r="N797" s="19" t="str">
        <f>IFERROR(__xludf.DUMMYFUNCTION("""COMPUTED_VALUE"""),"PRIORIDAD 3 Q1 2024 MARZO")</f>
        <v>PRIORIDAD 3 Q1 2024 MARZO</v>
      </c>
    </row>
    <row r="798" ht="15.75" customHeight="1">
      <c r="A798" s="19" t="str">
        <f>IFERROR(__xludf.DUMMYFUNCTION("""COMPUTED_VALUE"""),"AB_0932")</f>
        <v>AB_0932</v>
      </c>
      <c r="B798" s="19" t="str">
        <f>IFERROR(__xludf.DUMMYFUNCTION("""COMPUTED_VALUE"""),"AB_0932_C")</f>
        <v>AB_0932_C</v>
      </c>
      <c r="C798" s="19" t="str">
        <f>IFERROR(__xludf.DUMMYFUNCTION("""COMPUTED_VALUE"""),"RM0932")</f>
        <v>RM0932</v>
      </c>
      <c r="D798" s="19" t="str">
        <f>IFERROR(__xludf.DUMMYFUNCTION("""COMPUTED_VALUE"""),"Villa Alhue_2")</f>
        <v>Villa Alhue_2</v>
      </c>
      <c r="E798" s="19" t="str">
        <f>IFERROR(__xludf.DUMMYFUNCTION("""COMPUTED_VALUE"""),"SITIO RFI")</f>
        <v>SITIO RFI</v>
      </c>
      <c r="F798" s="19" t="str">
        <f>IFERROR(__xludf.DUMMYFUNCTION("""COMPUTED_VALUE"""),"RFI")</f>
        <v>RFI</v>
      </c>
      <c r="G798" s="19" t="str">
        <f>IFERROR(__xludf.DUMMYFUNCTION("""COMPUTED_VALUE"""),"CV36")</f>
        <v>CV36</v>
      </c>
      <c r="H798" s="19" t="str">
        <f>IFERROR(__xludf.DUMMYFUNCTION("""COMPUTED_VALUE"""),"ADM")</f>
        <v>ADM</v>
      </c>
      <c r="I798" s="19" t="str">
        <f>IFERROR(__xludf.DUMMYFUNCTION("""COMPUTED_VALUE"""),"Entregada")</f>
        <v>Entregada</v>
      </c>
      <c r="J798" s="20">
        <f>IFERROR(__xludf.DUMMYFUNCTION("""COMPUTED_VALUE"""),44743.0)</f>
        <v>44743</v>
      </c>
      <c r="K798" s="19" t="str">
        <f>IFERROR(__xludf.DUMMYFUNCTION("""COMPUTED_VALUE"""),"Entregada")</f>
        <v>Entregada</v>
      </c>
      <c r="L798" s="20">
        <f>IFERROR(__xludf.DUMMYFUNCTION("""COMPUTED_VALUE"""),44757.0)</f>
        <v>44757</v>
      </c>
      <c r="M798" s="19" t="str">
        <f>IFERROR(__xludf.DUMMYFUNCTION("""COMPUTED_VALUE"""),"PCM")</f>
        <v>PCM</v>
      </c>
      <c r="N798" s="19" t="str">
        <f>IFERROR(__xludf.DUMMYFUNCTION("""COMPUTED_VALUE"""),"PRIORIDAD 1 Q3 2023 OCTUBRE")</f>
        <v>PRIORIDAD 1 Q3 2023 OCTUBRE</v>
      </c>
    </row>
    <row r="799" ht="15.75" customHeight="1">
      <c r="A799" s="19" t="str">
        <f>IFERROR(__xludf.DUMMYFUNCTION("""COMPUTED_VALUE"""),"AB_10115")</f>
        <v>AB_10115</v>
      </c>
      <c r="B799" s="19" t="str">
        <f>IFERROR(__xludf.DUMMYFUNCTION("""COMPUTED_VALUE"""),"AB_10115_A")</f>
        <v>AB_10115_A</v>
      </c>
      <c r="C799" s="19" t="str">
        <f>IFERROR(__xludf.DUMMYFUNCTION("""COMPUTED_VALUE"""),"RM10115")</f>
        <v>RM10115</v>
      </c>
      <c r="D799" s="19" t="str">
        <f>IFERROR(__xludf.DUMMYFUNCTION("""COMPUTED_VALUE"""),"A Quebrada del Durazno")</f>
        <v>A Quebrada del Durazno</v>
      </c>
      <c r="E799" s="19" t="str">
        <f>IFERROR(__xludf.DUMMYFUNCTION("""COMPUTED_VALUE"""),"SITIO EN CONSTRUCCION")</f>
        <v>SITIO EN CONSTRUCCION</v>
      </c>
      <c r="F799" s="19" t="str">
        <f>IFERROR(__xludf.DUMMYFUNCTION("""COMPUTED_VALUE"""),"ENFIERRADURA")</f>
        <v>ENFIERRADURA</v>
      </c>
      <c r="G799" s="19" t="str">
        <f>IFERROR(__xludf.DUMMYFUNCTION("""COMPUTED_VALUE"""),"CV42")</f>
        <v>CV42</v>
      </c>
      <c r="H799" s="19" t="str">
        <f>IFERROR(__xludf.DUMMYFUNCTION("""COMPUTED_VALUE"""),"SyC")</f>
        <v>SyC</v>
      </c>
      <c r="I799" s="19" t="str">
        <f>IFERROR(__xludf.DUMMYFUNCTION("""COMPUTED_VALUE"""),"Terminada")</f>
        <v>Terminada</v>
      </c>
      <c r="J799" s="20">
        <f>IFERROR(__xludf.DUMMYFUNCTION("""COMPUTED_VALUE"""),44764.0)</f>
        <v>44764</v>
      </c>
      <c r="K799" s="19" t="str">
        <f>IFERROR(__xludf.DUMMYFUNCTION("""COMPUTED_VALUE"""),"Terminada")</f>
        <v>Terminada</v>
      </c>
      <c r="L799" s="20">
        <f>IFERROR(__xludf.DUMMYFUNCTION("""COMPUTED_VALUE"""),44816.0)</f>
        <v>44816</v>
      </c>
      <c r="M799" s="19" t="str">
        <f>IFERROR(__xludf.DUMMYFUNCTION("""COMPUTED_VALUE"""),"PCM")</f>
        <v>PCM</v>
      </c>
      <c r="N799" s="19" t="str">
        <f>IFERROR(__xludf.DUMMYFUNCTION("""COMPUTED_VALUE"""),"PRIORIDAD 1 Q3 2023 OCTUBRE")</f>
        <v>PRIORIDAD 1 Q3 2023 OCTUBRE</v>
      </c>
    </row>
    <row r="800" ht="15.75" customHeight="1">
      <c r="A800" s="19" t="str">
        <f>IFERROR(__xludf.DUMMYFUNCTION("""COMPUTED_VALUE"""),"AB_10119")</f>
        <v>AB_10119</v>
      </c>
      <c r="B800" s="19" t="str">
        <f>IFERROR(__xludf.DUMMYFUNCTION("""COMPUTED_VALUE"""),"AB_10119_A")</f>
        <v>AB_10119_A</v>
      </c>
      <c r="C800" s="19" t="str">
        <f>IFERROR(__xludf.DUMMYFUNCTION("""COMPUTED_VALUE"""),"RM10119")</f>
        <v>RM10119</v>
      </c>
      <c r="D800" s="19" t="str">
        <f>IFERROR(__xludf.DUMMYFUNCTION("""COMPUTED_VALUE"""),"Camino a Cajon del Muerto")</f>
        <v>Camino a Cajon del Muerto</v>
      </c>
      <c r="E800" s="19" t="str">
        <f>IFERROR(__xludf.DUMMYFUNCTION("""COMPUTED_VALUE"""),"SITIO EN CONSTRUCCION")</f>
        <v>SITIO EN CONSTRUCCION</v>
      </c>
      <c r="F800" s="19" t="str">
        <f>IFERROR(__xludf.DUMMYFUNCTION("""COMPUTED_VALUE"""),"EXCAVACION")</f>
        <v>EXCAVACION</v>
      </c>
      <c r="G800" s="19" t="str">
        <f>IFERROR(__xludf.DUMMYFUNCTION("""COMPUTED_VALUE"""),"CV42")</f>
        <v>CV42</v>
      </c>
      <c r="H800" s="19" t="str">
        <f>IFERROR(__xludf.DUMMYFUNCTION("""COMPUTED_VALUE"""),"SyC")</f>
        <v>SyC</v>
      </c>
      <c r="I800" s="19" t="str">
        <f>IFERROR(__xludf.DUMMYFUNCTION("""COMPUTED_VALUE"""),"Terminada")</f>
        <v>Terminada</v>
      </c>
      <c r="J800" s="20">
        <f>IFERROR(__xludf.DUMMYFUNCTION("""COMPUTED_VALUE"""),44764.0)</f>
        <v>44764</v>
      </c>
      <c r="K800" s="19" t="str">
        <f>IFERROR(__xludf.DUMMYFUNCTION("""COMPUTED_VALUE"""),"Terminada")</f>
        <v>Terminada</v>
      </c>
      <c r="L800" s="20">
        <f>IFERROR(__xludf.DUMMYFUNCTION("""COMPUTED_VALUE"""),44816.0)</f>
        <v>44816</v>
      </c>
      <c r="M800" s="19" t="str">
        <f>IFERROR(__xludf.DUMMYFUNCTION("""COMPUTED_VALUE"""),"PCM")</f>
        <v>PCM</v>
      </c>
      <c r="N800" s="19" t="str">
        <f>IFERROR(__xludf.DUMMYFUNCTION("""COMPUTED_VALUE"""),"PRIORIDAD 1 Q3 2023 OCTUBRE")</f>
        <v>PRIORIDAD 1 Q3 2023 OCTUBRE</v>
      </c>
    </row>
    <row r="801" ht="15.75" customHeight="1">
      <c r="A801" s="19" t="str">
        <f>IFERROR(__xludf.DUMMYFUNCTION("""COMPUTED_VALUE"""),"AB_10120")</f>
        <v>AB_10120</v>
      </c>
      <c r="B801" s="19" t="str">
        <f>IFERROR(__xludf.DUMMYFUNCTION("""COMPUTED_VALUE"""),"AB_10120_C")</f>
        <v>AB_10120_C</v>
      </c>
      <c r="C801" s="19" t="str">
        <f>IFERROR(__xludf.DUMMYFUNCTION("""COMPUTED_VALUE"""),"RM10120")</f>
        <v>RM10120</v>
      </c>
      <c r="D801" s="19" t="str">
        <f>IFERROR(__xludf.DUMMYFUNCTION("""COMPUTED_VALUE"""),"Alto La Florida")</f>
        <v>Alto La Florida</v>
      </c>
      <c r="E801" s="19" t="str">
        <f>IFERROR(__xludf.DUMMYFUNCTION("""COMPUTED_VALUE"""),"SITIO RFC")</f>
        <v>SITIO RFC</v>
      </c>
      <c r="F801" s="19"/>
      <c r="G801" s="19" t="str">
        <f>IFERROR(__xludf.DUMMYFUNCTION("""COMPUTED_VALUE"""),"CV60 E")</f>
        <v>CV60 E</v>
      </c>
      <c r="H801" s="19" t="str">
        <f>IFERROR(__xludf.DUMMYFUNCTION("""COMPUTED_VALUE"""),"DEPROMET")</f>
        <v>DEPROMET</v>
      </c>
      <c r="I801" s="19" t="str">
        <f>IFERROR(__xludf.DUMMYFUNCTION("""COMPUTED_VALUE"""),"Asignada")</f>
        <v>Asignada</v>
      </c>
      <c r="J801" s="20">
        <f>IFERROR(__xludf.DUMMYFUNCTION("""COMPUTED_VALUE"""),45156.0)</f>
        <v>45156</v>
      </c>
      <c r="K801" s="19" t="str">
        <f>IFERROR(__xludf.DUMMYFUNCTION("""COMPUTED_VALUE"""),"Asignada")</f>
        <v>Asignada</v>
      </c>
      <c r="L801" s="20">
        <f>IFERROR(__xludf.DUMMYFUNCTION("""COMPUTED_VALUE"""),45163.0)</f>
        <v>45163</v>
      </c>
      <c r="M801" s="19" t="str">
        <f>IFERROR(__xludf.DUMMYFUNCTION("""COMPUTED_VALUE"""),"PCM")</f>
        <v>PCM</v>
      </c>
      <c r="N801" s="19" t="str">
        <f>IFERROR(__xludf.DUMMYFUNCTION("""COMPUTED_VALUE"""),"PRIORIDAD 3 Q1 2024 MARZO")</f>
        <v>PRIORIDAD 3 Q1 2024 MARZO</v>
      </c>
    </row>
    <row r="802" ht="15.75" customHeight="1">
      <c r="A802" s="19" t="str">
        <f>IFERROR(__xludf.DUMMYFUNCTION("""COMPUTED_VALUE"""),"AB_10121")</f>
        <v>AB_10121</v>
      </c>
      <c r="B802" s="19" t="str">
        <f>IFERROR(__xludf.DUMMYFUNCTION("""COMPUTED_VALUE"""),"AB_10121_A")</f>
        <v>AB_10121_A</v>
      </c>
      <c r="C802" s="19" t="str">
        <f>IFERROR(__xludf.DUMMYFUNCTION("""COMPUTED_VALUE"""),"RM10121")</f>
        <v>RM10121</v>
      </c>
      <c r="D802" s="19" t="str">
        <f>IFERROR(__xludf.DUMMYFUNCTION("""COMPUTED_VALUE"""),"Sendero Los Peumos")</f>
        <v>Sendero Los Peumos</v>
      </c>
      <c r="E802" s="19" t="str">
        <f>IFERROR(__xludf.DUMMYFUNCTION("""COMPUTED_VALUE"""),"SITIO PENDIENTE")</f>
        <v>SITIO PENDIENTE</v>
      </c>
      <c r="F802" s="19"/>
      <c r="G802" s="19" t="str">
        <f>IFERROR(__xludf.DUMMYFUNCTION("""COMPUTED_VALUE"""),"CV42")</f>
        <v>CV42</v>
      </c>
      <c r="H802" s="19" t="str">
        <f>IFERROR(__xludf.DUMMYFUNCTION("""COMPUTED_VALUE"""),"")</f>
        <v/>
      </c>
      <c r="I802" s="19" t="str">
        <f>IFERROR(__xludf.DUMMYFUNCTION("""COMPUTED_VALUE"""),"")</f>
        <v/>
      </c>
      <c r="J802" s="20" t="str">
        <f>IFERROR(__xludf.DUMMYFUNCTION("""COMPUTED_VALUE"""),"")</f>
        <v/>
      </c>
      <c r="K802" s="19" t="str">
        <f>IFERROR(__xludf.DUMMYFUNCTION("""COMPUTED_VALUE"""),"")</f>
        <v/>
      </c>
      <c r="L802" s="20" t="str">
        <f>IFERROR(__xludf.DUMMYFUNCTION("""COMPUTED_VALUE"""),"")</f>
        <v/>
      </c>
      <c r="M802" s="19" t="str">
        <f>IFERROR(__xludf.DUMMYFUNCTION("""COMPUTED_VALUE"""),"PCM")</f>
        <v>PCM</v>
      </c>
      <c r="N802" s="19" t="str">
        <f>IFERROR(__xludf.DUMMYFUNCTION("""COMPUTED_VALUE"""),"PRIORIDAD 3 Q1 2024 MARZO")</f>
        <v>PRIORIDAD 3 Q1 2024 MARZO</v>
      </c>
    </row>
    <row r="803" ht="15.75" customHeight="1">
      <c r="A803" s="19" t="str">
        <f>IFERROR(__xludf.DUMMYFUNCTION("""COMPUTED_VALUE"""),"AB_10122")</f>
        <v>AB_10122</v>
      </c>
      <c r="B803" s="19" t="str">
        <f>IFERROR(__xludf.DUMMYFUNCTION("""COMPUTED_VALUE"""),"AB_10122_A")</f>
        <v>AB_10122_A</v>
      </c>
      <c r="C803" s="19" t="str">
        <f>IFERROR(__xludf.DUMMYFUNCTION("""COMPUTED_VALUE"""),"RM10122")</f>
        <v>RM10122</v>
      </c>
      <c r="D803" s="19" t="str">
        <f>IFERROR(__xludf.DUMMYFUNCTION("""COMPUTED_VALUE"""),"Alto del Naranjo Las Condes")</f>
        <v>Alto del Naranjo Las Condes</v>
      </c>
      <c r="E803" s="19" t="str">
        <f>IFERROR(__xludf.DUMMYFUNCTION("""COMPUTED_VALUE"""),"DETENIDO SAC")</f>
        <v>DETENIDO SAC</v>
      </c>
      <c r="F803" s="19"/>
      <c r="G803" s="19" t="str">
        <f>IFERROR(__xludf.DUMMYFUNCTION("""COMPUTED_VALUE"""),"AS42")</f>
        <v>AS42</v>
      </c>
      <c r="H803" s="19" t="str">
        <f>IFERROR(__xludf.DUMMYFUNCTION("""COMPUTED_VALUE"""),"AJ")</f>
        <v>AJ</v>
      </c>
      <c r="I803" s="19" t="str">
        <f>IFERROR(__xludf.DUMMYFUNCTION("""COMPUTED_VALUE"""),"Terminada")</f>
        <v>Terminada</v>
      </c>
      <c r="J803" s="20">
        <f>IFERROR(__xludf.DUMMYFUNCTION("""COMPUTED_VALUE"""),44664.0)</f>
        <v>44664</v>
      </c>
      <c r="K803" s="19" t="str">
        <f>IFERROR(__xludf.DUMMYFUNCTION("""COMPUTED_VALUE"""),"Terminada")</f>
        <v>Terminada</v>
      </c>
      <c r="L803" s="20">
        <f>IFERROR(__xludf.DUMMYFUNCTION("""COMPUTED_VALUE"""),44722.0)</f>
        <v>44722</v>
      </c>
      <c r="M803" s="19" t="str">
        <f>IFERROR(__xludf.DUMMYFUNCTION("""COMPUTED_VALUE"""),"PCM")</f>
        <v>PCM</v>
      </c>
      <c r="N803" s="19" t="str">
        <f>IFERROR(__xludf.DUMMYFUNCTION("""COMPUTED_VALUE"""),"PRIORIDAD 3 Q1 2024 MARZO")</f>
        <v>PRIORIDAD 3 Q1 2024 MARZO</v>
      </c>
    </row>
    <row r="804" ht="15.75" customHeight="1">
      <c r="A804" s="19" t="str">
        <f>IFERROR(__xludf.DUMMYFUNCTION("""COMPUTED_VALUE"""),"AB_10126")</f>
        <v>AB_10126</v>
      </c>
      <c r="B804" s="19" t="str">
        <f>IFERROR(__xludf.DUMMYFUNCTION("""COMPUTED_VALUE"""),"AB_10126_B")</f>
        <v>AB_10126_B</v>
      </c>
      <c r="C804" s="19" t="str">
        <f>IFERROR(__xludf.DUMMYFUNCTION("""COMPUTED_VALUE"""),"RM10126")</f>
        <v>RM10126</v>
      </c>
      <c r="D804" s="19" t="str">
        <f>IFERROR(__xludf.DUMMYFUNCTION("""COMPUTED_VALUE"""),"Parcelacion Alto El Rosario")</f>
        <v>Parcelacion Alto El Rosario</v>
      </c>
      <c r="E804" s="19" t="str">
        <f>IFERROR(__xludf.DUMMYFUNCTION("""COMPUTED_VALUE"""),"SITIO RFI")</f>
        <v>SITIO RFI</v>
      </c>
      <c r="F804" s="19" t="str">
        <f>IFERROR(__xludf.DUMMYFUNCTION("""COMPUTED_VALUE"""),"RFI")</f>
        <v>RFI</v>
      </c>
      <c r="G804" s="19" t="str">
        <f>IFERROR(__xludf.DUMMYFUNCTION("""COMPUTED_VALUE"""),"CV42")</f>
        <v>CV42</v>
      </c>
      <c r="H804" s="19" t="str">
        <f>IFERROR(__xludf.DUMMYFUNCTION("""COMPUTED_VALUE"""),"AJ")</f>
        <v>AJ</v>
      </c>
      <c r="I804" s="19" t="str">
        <f>IFERROR(__xludf.DUMMYFUNCTION("""COMPUTED_VALUE"""),"Entregada")</f>
        <v>Entregada</v>
      </c>
      <c r="J804" s="20">
        <f>IFERROR(__xludf.DUMMYFUNCTION("""COMPUTED_VALUE"""),44729.0)</f>
        <v>44729</v>
      </c>
      <c r="K804" s="19" t="str">
        <f>IFERROR(__xludf.DUMMYFUNCTION("""COMPUTED_VALUE"""),"Entregada")</f>
        <v>Entregada</v>
      </c>
      <c r="L804" s="20">
        <f>IFERROR(__xludf.DUMMYFUNCTION("""COMPUTED_VALUE"""),44840.0)</f>
        <v>44840</v>
      </c>
      <c r="M804" s="19" t="str">
        <f>IFERROR(__xludf.DUMMYFUNCTION("""COMPUTED_VALUE"""),"PCM")</f>
        <v>PCM</v>
      </c>
      <c r="N804" s="19" t="str">
        <f>IFERROR(__xludf.DUMMYFUNCTION("""COMPUTED_VALUE"""),"PRIORIDAD 1 Q3 2023 OCTUBRE")</f>
        <v>PRIORIDAD 1 Q3 2023 OCTUBRE</v>
      </c>
    </row>
    <row r="805" ht="15.75" customHeight="1">
      <c r="A805" s="19" t="str">
        <f>IFERROR(__xludf.DUMMYFUNCTION("""COMPUTED_VALUE"""),"AB_10127")</f>
        <v>AB_10127</v>
      </c>
      <c r="B805" s="19" t="str">
        <f>IFERROR(__xludf.DUMMYFUNCTION("""COMPUTED_VALUE"""),"AB_10127_A")</f>
        <v>AB_10127_A</v>
      </c>
      <c r="C805" s="19" t="str">
        <f>IFERROR(__xludf.DUMMYFUNCTION("""COMPUTED_VALUE"""),"RM10127")</f>
        <v>RM10127</v>
      </c>
      <c r="D805" s="19" t="str">
        <f>IFERROR(__xludf.DUMMYFUNCTION("""COMPUTED_VALUE"""),"Planta El Trebal")</f>
        <v>Planta El Trebal</v>
      </c>
      <c r="E805" s="19" t="str">
        <f>IFERROR(__xludf.DUMMYFUNCTION("""COMPUTED_VALUE"""),"SITIO RFI")</f>
        <v>SITIO RFI</v>
      </c>
      <c r="F805" s="19" t="str">
        <f>IFERROR(__xludf.DUMMYFUNCTION("""COMPUTED_VALUE"""),"RFI")</f>
        <v>RFI</v>
      </c>
      <c r="G805" s="19" t="str">
        <f>IFERROR(__xludf.DUMMYFUNCTION("""COMPUTED_VALUE"""),"AS60")</f>
        <v>AS60</v>
      </c>
      <c r="H805" s="19" t="str">
        <f>IFERROR(__xludf.DUMMYFUNCTION("""COMPUTED_VALUE"""),"AJ")</f>
        <v>AJ</v>
      </c>
      <c r="I805" s="19" t="str">
        <f>IFERROR(__xludf.DUMMYFUNCTION("""COMPUTED_VALUE"""),"Entregada")</f>
        <v>Entregada</v>
      </c>
      <c r="J805" s="20">
        <f>IFERROR(__xludf.DUMMYFUNCTION("""COMPUTED_VALUE"""),44636.0)</f>
        <v>44636</v>
      </c>
      <c r="K805" s="19" t="str">
        <f>IFERROR(__xludf.DUMMYFUNCTION("""COMPUTED_VALUE"""),"Entregada")</f>
        <v>Entregada</v>
      </c>
      <c r="L805" s="20">
        <f>IFERROR(__xludf.DUMMYFUNCTION("""COMPUTED_VALUE"""),44691.0)</f>
        <v>44691</v>
      </c>
      <c r="M805" s="19" t="str">
        <f>IFERROR(__xludf.DUMMYFUNCTION("""COMPUTED_VALUE"""),"PCM")</f>
        <v>PCM</v>
      </c>
      <c r="N805" s="19" t="str">
        <f>IFERROR(__xludf.DUMMYFUNCTION("""COMPUTED_VALUE"""),"PRIORIDAD 1 Q3 2023 OCTUBRE")</f>
        <v>PRIORIDAD 1 Q3 2023 OCTUBRE</v>
      </c>
    </row>
    <row r="806" ht="15.75" customHeight="1">
      <c r="A806" s="19" t="str">
        <f>IFERROR(__xludf.DUMMYFUNCTION("""COMPUTED_VALUE"""),"AB_10128")</f>
        <v>AB_10128</v>
      </c>
      <c r="B806" s="19" t="str">
        <f>IFERROR(__xludf.DUMMYFUNCTION("""COMPUTED_VALUE"""),"AB_10128_A")</f>
        <v>AB_10128_A</v>
      </c>
      <c r="C806" s="19" t="str">
        <f>IFERROR(__xludf.DUMMYFUNCTION("""COMPUTED_VALUE"""),"RM10128")</f>
        <v>RM10128</v>
      </c>
      <c r="D806" s="19" t="str">
        <f>IFERROR(__xludf.DUMMYFUNCTION("""COMPUTED_VALUE"""),"Cerro La Cruz-Las Condes")</f>
        <v>Cerro La Cruz-Las Condes</v>
      </c>
      <c r="E806" s="19" t="str">
        <f>IFERROR(__xludf.DUMMYFUNCTION("""COMPUTED_VALUE"""),"SITIO PENDIENTE")</f>
        <v>SITIO PENDIENTE</v>
      </c>
      <c r="F806" s="19"/>
      <c r="G806" s="19" t="str">
        <f>IFERROR(__xludf.DUMMYFUNCTION("""COMPUTED_VALUE"""),"CV30")</f>
        <v>CV30</v>
      </c>
      <c r="H806" s="19" t="str">
        <f>IFERROR(__xludf.DUMMYFUNCTION("""COMPUTED_VALUE"""),"")</f>
        <v/>
      </c>
      <c r="I806" s="19" t="str">
        <f>IFERROR(__xludf.DUMMYFUNCTION("""COMPUTED_VALUE"""),"")</f>
        <v/>
      </c>
      <c r="J806" s="20" t="str">
        <f>IFERROR(__xludf.DUMMYFUNCTION("""COMPUTED_VALUE"""),"")</f>
        <v/>
      </c>
      <c r="K806" s="19" t="str">
        <f>IFERROR(__xludf.DUMMYFUNCTION("""COMPUTED_VALUE"""),"")</f>
        <v/>
      </c>
      <c r="L806" s="20" t="str">
        <f>IFERROR(__xludf.DUMMYFUNCTION("""COMPUTED_VALUE"""),"")</f>
        <v/>
      </c>
      <c r="M806" s="19" t="str">
        <f>IFERROR(__xludf.DUMMYFUNCTION("""COMPUTED_VALUE"""),"PCM")</f>
        <v>PCM</v>
      </c>
      <c r="N806" s="19" t="str">
        <f>IFERROR(__xludf.DUMMYFUNCTION("""COMPUTED_VALUE"""),"PRIORIDAD 3 Q1 2024 MARZO")</f>
        <v>PRIORIDAD 3 Q1 2024 MARZO</v>
      </c>
    </row>
    <row r="807" ht="15.75" customHeight="1">
      <c r="A807" s="19" t="str">
        <f>IFERROR(__xludf.DUMMYFUNCTION("""COMPUTED_VALUE"""),"AB_10130")</f>
        <v>AB_10130</v>
      </c>
      <c r="B807" s="19" t="str">
        <f>IFERROR(__xludf.DUMMYFUNCTION("""COMPUTED_VALUE"""),"AB_10130_A")</f>
        <v>AB_10130_A</v>
      </c>
      <c r="C807" s="19" t="str">
        <f>IFERROR(__xludf.DUMMYFUNCTION("""COMPUTED_VALUE"""),"RM10130")</f>
        <v>RM10130</v>
      </c>
      <c r="D807" s="19" t="str">
        <f>IFERROR(__xludf.DUMMYFUNCTION("""COMPUTED_VALUE"""),"Cerro Colorado Quilicura")</f>
        <v>Cerro Colorado Quilicura</v>
      </c>
      <c r="E807" s="19" t="str">
        <f>IFERROR(__xludf.DUMMYFUNCTION("""COMPUTED_VALUE"""),"SITIO PENDIENTE")</f>
        <v>SITIO PENDIENTE</v>
      </c>
      <c r="F807" s="19"/>
      <c r="G807" s="19" t="str">
        <f>IFERROR(__xludf.DUMMYFUNCTION("""COMPUTED_VALUE"""),"MP R7")</f>
        <v>MP R7</v>
      </c>
      <c r="H807" s="19" t="str">
        <f>IFERROR(__xludf.DUMMYFUNCTION("""COMPUTED_VALUE"""),"COMPRAS")</f>
        <v>COMPRAS</v>
      </c>
      <c r="I807" s="19"/>
      <c r="J807" s="19"/>
      <c r="K807" s="19"/>
      <c r="L807" s="19"/>
      <c r="M807" s="19" t="str">
        <f>IFERROR(__xludf.DUMMYFUNCTION("""COMPUTED_VALUE"""),"PCM")</f>
        <v>PCM</v>
      </c>
      <c r="N807" s="19" t="str">
        <f>IFERROR(__xludf.DUMMYFUNCTION("""COMPUTED_VALUE"""),"PRIORIDAD 3 Q1 2024 MARZO")</f>
        <v>PRIORIDAD 3 Q1 2024 MARZO</v>
      </c>
    </row>
    <row r="808" ht="15.75" customHeight="1">
      <c r="A808" s="19" t="str">
        <f>IFERROR(__xludf.DUMMYFUNCTION("""COMPUTED_VALUE"""),"AB_10131")</f>
        <v>AB_10131</v>
      </c>
      <c r="B808" s="19" t="str">
        <f>IFERROR(__xludf.DUMMYFUNCTION("""COMPUTED_VALUE"""),"AB_10131_B")</f>
        <v>AB_10131_B</v>
      </c>
      <c r="C808" s="19" t="str">
        <f>IFERROR(__xludf.DUMMYFUNCTION("""COMPUTED_VALUE"""),"RM10131")</f>
        <v>RM10131</v>
      </c>
      <c r="D808" s="19" t="str">
        <f>IFERROR(__xludf.DUMMYFUNCTION("""COMPUTED_VALUE"""),"Ex vertedero Renca")</f>
        <v>Ex vertedero Renca</v>
      </c>
      <c r="E808" s="19" t="str">
        <f>IFERROR(__xludf.DUMMYFUNCTION("""COMPUTED_VALUE"""),"DETENIDO SAC")</f>
        <v>DETENIDO SAC</v>
      </c>
      <c r="F808" s="19"/>
      <c r="G808" s="19" t="str">
        <f>IFERROR(__xludf.DUMMYFUNCTION("""COMPUTED_VALUE"""),"MP R30")</f>
        <v>MP R30</v>
      </c>
      <c r="H808" s="19" t="str">
        <f>IFERROR(__xludf.DUMMYFUNCTION("""COMPUTED_VALUE"""),"")</f>
        <v/>
      </c>
      <c r="I808" s="19" t="str">
        <f>IFERROR(__xludf.DUMMYFUNCTION("""COMPUTED_VALUE"""),"")</f>
        <v/>
      </c>
      <c r="J808" s="20" t="str">
        <f>IFERROR(__xludf.DUMMYFUNCTION("""COMPUTED_VALUE"""),"")</f>
        <v/>
      </c>
      <c r="K808" s="19" t="str">
        <f>IFERROR(__xludf.DUMMYFUNCTION("""COMPUTED_VALUE"""),"")</f>
        <v/>
      </c>
      <c r="L808" s="20" t="str">
        <f>IFERROR(__xludf.DUMMYFUNCTION("""COMPUTED_VALUE"""),"")</f>
        <v/>
      </c>
      <c r="M808" s="19" t="str">
        <f>IFERROR(__xludf.DUMMYFUNCTION("""COMPUTED_VALUE"""),"PCM")</f>
        <v>PCM</v>
      </c>
      <c r="N808" s="19" t="str">
        <f>IFERROR(__xludf.DUMMYFUNCTION("""COMPUTED_VALUE"""),"PRIORIDAD 3 Q1 2024 MARZO")</f>
        <v>PRIORIDAD 3 Q1 2024 MARZO</v>
      </c>
    </row>
    <row r="809" ht="15.75" customHeight="1">
      <c r="A809" s="19" t="str">
        <f>IFERROR(__xludf.DUMMYFUNCTION("""COMPUTED_VALUE"""),"AB_10144")</f>
        <v>AB_10144</v>
      </c>
      <c r="B809" s="19" t="str">
        <f>IFERROR(__xludf.DUMMYFUNCTION("""COMPUTED_VALUE"""),"AB_10144_A")</f>
        <v>AB_10144_A</v>
      </c>
      <c r="C809" s="19" t="str">
        <f>IFERROR(__xludf.DUMMYFUNCTION("""COMPUTED_VALUE"""),"RM10144")</f>
        <v>RM10144</v>
      </c>
      <c r="D809" s="19" t="str">
        <f>IFERROR(__xludf.DUMMYFUNCTION("""COMPUTED_VALUE"""),"CIC Yerba Loca_2")</f>
        <v>CIC Yerba Loca_2</v>
      </c>
      <c r="E809" s="19" t="str">
        <f>IFERROR(__xludf.DUMMYFUNCTION("""COMPUTED_VALUE"""),"SITIO PENDIENTE")</f>
        <v>SITIO PENDIENTE</v>
      </c>
      <c r="F809" s="19"/>
      <c r="G809" s="19" t="str">
        <f>IFERROR(__xludf.DUMMYFUNCTION("""COMPUTED_VALUE"""),"x")</f>
        <v>x</v>
      </c>
      <c r="H809" s="19" t="str">
        <f>IFERROR(__xludf.DUMMYFUNCTION("""COMPUTED_VALUE"""),"x")</f>
        <v>x</v>
      </c>
      <c r="I809" s="19" t="str">
        <f>IFERROR(__xludf.DUMMYFUNCTION("""COMPUTED_VALUE"""),"x")</f>
        <v>x</v>
      </c>
      <c r="J809" s="20" t="str">
        <f>IFERROR(__xludf.DUMMYFUNCTION("""COMPUTED_VALUE"""),"x")</f>
        <v>x</v>
      </c>
      <c r="K809" s="19" t="str">
        <f>IFERROR(__xludf.DUMMYFUNCTION("""COMPUTED_VALUE"""),"x")</f>
        <v>x</v>
      </c>
      <c r="L809" s="20" t="str">
        <f>IFERROR(__xludf.DUMMYFUNCTION("""COMPUTED_VALUE"""),"x")</f>
        <v>x</v>
      </c>
      <c r="M809" s="19" t="str">
        <f>IFERROR(__xludf.DUMMYFUNCTION("""COMPUTED_VALUE"""),"PP")</f>
        <v>PP</v>
      </c>
      <c r="N809" s="19" t="str">
        <f>IFERROR(__xludf.DUMMYFUNCTION("""COMPUTED_VALUE"""),"PRIORIDAD 3 Q1 2024 MARZO")</f>
        <v>PRIORIDAD 3 Q1 2024 MARZO</v>
      </c>
    </row>
    <row r="810" ht="15.75" customHeight="1">
      <c r="A810" s="19" t="str">
        <f>IFERROR(__xludf.DUMMYFUNCTION("""COMPUTED_VALUE"""),"AB_10149")</f>
        <v>AB_10149</v>
      </c>
      <c r="B810" s="19" t="str">
        <f>IFERROR(__xludf.DUMMYFUNCTION("""COMPUTED_VALUE"""),"AB_10149_A")</f>
        <v>AB_10149_A</v>
      </c>
      <c r="C810" s="19" t="str">
        <f>IFERROR(__xludf.DUMMYFUNCTION("""COMPUTED_VALUE"""),"RM10149")</f>
        <v>RM10149</v>
      </c>
      <c r="D810" s="19" t="str">
        <f>IFERROR(__xludf.DUMMYFUNCTION("""COMPUTED_VALUE"""),"CIC Yerba Loca")</f>
        <v>CIC Yerba Loca</v>
      </c>
      <c r="E810" s="19" t="str">
        <f>IFERROR(__xludf.DUMMYFUNCTION("""COMPUTED_VALUE"""),"SITIO PENDIENTE")</f>
        <v>SITIO PENDIENTE</v>
      </c>
      <c r="F810" s="19"/>
      <c r="G810" s="19" t="str">
        <f>IFERROR(__xludf.DUMMYFUNCTION("""COMPUTED_VALUE"""),"x")</f>
        <v>x</v>
      </c>
      <c r="H810" s="19" t="str">
        <f>IFERROR(__xludf.DUMMYFUNCTION("""COMPUTED_VALUE"""),"x")</f>
        <v>x</v>
      </c>
      <c r="I810" s="19" t="str">
        <f>IFERROR(__xludf.DUMMYFUNCTION("""COMPUTED_VALUE"""),"x")</f>
        <v>x</v>
      </c>
      <c r="J810" s="20" t="str">
        <f>IFERROR(__xludf.DUMMYFUNCTION("""COMPUTED_VALUE"""),"x")</f>
        <v>x</v>
      </c>
      <c r="K810" s="19" t="str">
        <f>IFERROR(__xludf.DUMMYFUNCTION("""COMPUTED_VALUE"""),"x")</f>
        <v>x</v>
      </c>
      <c r="L810" s="20" t="str">
        <f>IFERROR(__xludf.DUMMYFUNCTION("""COMPUTED_VALUE"""),"x")</f>
        <v>x</v>
      </c>
      <c r="M810" s="19" t="str">
        <f>IFERROR(__xludf.DUMMYFUNCTION("""COMPUTED_VALUE"""),"PP")</f>
        <v>PP</v>
      </c>
      <c r="N810" s="19" t="str">
        <f>IFERROR(__xludf.DUMMYFUNCTION("""COMPUTED_VALUE"""),"PRIORIDAD 3 Q1 2024 MARZO")</f>
        <v>PRIORIDAD 3 Q1 2024 MARZO</v>
      </c>
    </row>
    <row r="811" ht="15.75" customHeight="1">
      <c r="A811" s="19" t="str">
        <f>IFERROR(__xludf.DUMMYFUNCTION("""COMPUTED_VALUE"""),"AB_9784")</f>
        <v>AB_9784</v>
      </c>
      <c r="B811" s="19" t="str">
        <f>IFERROR(__xludf.DUMMYFUNCTION("""COMPUTED_VALUE"""),"AB_9784_A")</f>
        <v>AB_9784_A</v>
      </c>
      <c r="C811" s="19" t="str">
        <f>IFERROR(__xludf.DUMMYFUNCTION("""COMPUTED_VALUE"""),"TA9784")</f>
        <v>TA9784</v>
      </c>
      <c r="D811" s="19" t="str">
        <f>IFERROR(__xludf.DUMMYFUNCTION("""COMPUTED_VALUE"""),"Quipisca ")</f>
        <v>Quipisca </v>
      </c>
      <c r="E811" s="19" t="str">
        <f>IFERROR(__xludf.DUMMYFUNCTION("""COMPUTED_VALUE"""),"DETENIDO COMUNIDAD")</f>
        <v>DETENIDO COMUNIDAD</v>
      </c>
      <c r="F811" s="19" t="str">
        <f>IFERROR(__xludf.DUMMYFUNCTION("""COMPUTED_VALUE"""),"EXCAVACION")</f>
        <v>EXCAVACION</v>
      </c>
      <c r="G811" s="19" t="str">
        <f>IFERROR(__xludf.DUMMYFUNCTION("""COMPUTED_VALUE"""),"CV48")</f>
        <v>CV48</v>
      </c>
      <c r="H811" s="19" t="str">
        <f>IFERROR(__xludf.DUMMYFUNCTION("""COMPUTED_VALUE"""),"JTI")</f>
        <v>JTI</v>
      </c>
      <c r="I811" s="19" t="str">
        <f>IFERROR(__xludf.DUMMYFUNCTION("""COMPUTED_VALUE"""),"Entregada")</f>
        <v>Entregada</v>
      </c>
      <c r="J811" s="20">
        <f>IFERROR(__xludf.DUMMYFUNCTION("""COMPUTED_VALUE"""),44859.0)</f>
        <v>44859</v>
      </c>
      <c r="K811" s="19" t="str">
        <f>IFERROR(__xludf.DUMMYFUNCTION("""COMPUTED_VALUE"""),"Entregada")</f>
        <v>Entregada</v>
      </c>
      <c r="L811" s="20">
        <f>IFERROR(__xludf.DUMMYFUNCTION("""COMPUTED_VALUE"""),44837.0)</f>
        <v>44837</v>
      </c>
      <c r="M811" s="19" t="str">
        <f>IFERROR(__xludf.DUMMYFUNCTION("""COMPUTED_VALUE"""),"LLOO")</f>
        <v>LLOO</v>
      </c>
      <c r="N811" s="19" t="str">
        <f>IFERROR(__xludf.DUMMYFUNCTION("""COMPUTED_VALUE"""),"PRIORIDAD 2 Q4 2023 DICIEMBRE")</f>
        <v>PRIORIDAD 2 Q4 2023 DICIEMBRE</v>
      </c>
    </row>
    <row r="812" ht="15.75" customHeight="1">
      <c r="A812" s="19" t="str">
        <f>IFERROR(__xludf.DUMMYFUNCTION("""COMPUTED_VALUE"""),"AB_10170")</f>
        <v>AB_10170</v>
      </c>
      <c r="B812" s="19" t="str">
        <f>IFERROR(__xludf.DUMMYFUNCTION("""COMPUTED_VALUE"""),"AB_10170_A")</f>
        <v>AB_10170_A</v>
      </c>
      <c r="C812" s="19" t="str">
        <f>IFERROR(__xludf.DUMMYFUNCTION("""COMPUTED_VALUE"""),"RM10170")</f>
        <v>RM10170</v>
      </c>
      <c r="D812" s="19" t="str">
        <f>IFERROR(__xludf.DUMMYFUNCTION("""COMPUTED_VALUE"""),"Radial N-O 2")</f>
        <v>Radial N-O 2</v>
      </c>
      <c r="E812" s="19" t="str">
        <f>IFERROR(__xludf.DUMMYFUNCTION("""COMPUTED_VALUE"""),"SITIO PENDIENTE")</f>
        <v>SITIO PENDIENTE</v>
      </c>
      <c r="F812" s="19"/>
      <c r="G812" s="19" t="str">
        <f>IFERROR(__xludf.DUMMYFUNCTION("""COMPUTED_VALUE"""),"AS24")</f>
        <v>AS24</v>
      </c>
      <c r="H812" s="19" t="str">
        <f>IFERROR(__xludf.DUMMYFUNCTION("""COMPUTED_VALUE"""),"AJ")</f>
        <v>AJ</v>
      </c>
      <c r="I812" s="19" t="str">
        <f>IFERROR(__xludf.DUMMYFUNCTION("""COMPUTED_VALUE"""),"Terminada")</f>
        <v>Terminada</v>
      </c>
      <c r="J812" s="20">
        <f>IFERROR(__xludf.DUMMYFUNCTION("""COMPUTED_VALUE"""),44697.0)</f>
        <v>44697</v>
      </c>
      <c r="K812" s="19" t="str">
        <f>IFERROR(__xludf.DUMMYFUNCTION("""COMPUTED_VALUE"""),"Por pintar ")</f>
        <v>Por pintar </v>
      </c>
      <c r="L812" s="20">
        <f>IFERROR(__xludf.DUMMYFUNCTION("""COMPUTED_VALUE"""),44848.0)</f>
        <v>44848</v>
      </c>
      <c r="M812" s="19" t="str">
        <f>IFERROR(__xludf.DUMMYFUNCTION("""COMPUTED_VALUE"""),"PCM")</f>
        <v>PCM</v>
      </c>
      <c r="N812" s="19" t="str">
        <f>IFERROR(__xludf.DUMMYFUNCTION("""COMPUTED_VALUE"""),"PRIORIDAD 3 Q1 2024 MARZO")</f>
        <v>PRIORIDAD 3 Q1 2024 MARZO</v>
      </c>
    </row>
    <row r="813" ht="15.75" customHeight="1">
      <c r="A813" s="19" t="str">
        <f>IFERROR(__xludf.DUMMYFUNCTION("""COMPUTED_VALUE"""),"AB_10176")</f>
        <v>AB_10176</v>
      </c>
      <c r="B813" s="19" t="str">
        <f>IFERROR(__xludf.DUMMYFUNCTION("""COMPUTED_VALUE"""),"AB_10176_B")</f>
        <v>AB_10176_B</v>
      </c>
      <c r="C813" s="19" t="str">
        <f>IFERROR(__xludf.DUMMYFUNCTION("""COMPUTED_VALUE"""),"RM10176")</f>
        <v>RM10176</v>
      </c>
      <c r="D813" s="19" t="str">
        <f>IFERROR(__xludf.DUMMYFUNCTION("""COMPUTED_VALUE"""),"Cerro La Cruz-Peñalolen")</f>
        <v>Cerro La Cruz-Peñalolen</v>
      </c>
      <c r="E813" s="19" t="str">
        <f>IFERROR(__xludf.DUMMYFUNCTION("""COMPUTED_VALUE"""),"SITIO PENDIENTE")</f>
        <v>SITIO PENDIENTE</v>
      </c>
      <c r="F813" s="19"/>
      <c r="G813" s="19" t="str">
        <f>IFERROR(__xludf.DUMMYFUNCTION("""COMPUTED_VALUE"""),"AS24")</f>
        <v>AS24</v>
      </c>
      <c r="H813" s="19" t="str">
        <f>IFERROR(__xludf.DUMMYFUNCTION("""COMPUTED_VALUE"""),"AJ")</f>
        <v>AJ</v>
      </c>
      <c r="I813" s="19" t="str">
        <f>IFERROR(__xludf.DUMMYFUNCTION("""COMPUTED_VALUE"""),"Terminada")</f>
        <v>Terminada</v>
      </c>
      <c r="J813" s="19"/>
      <c r="K813" s="19" t="str">
        <f>IFERROR(__xludf.DUMMYFUNCTION("""COMPUTED_VALUE"""),"Terminada")</f>
        <v>Terminada</v>
      </c>
      <c r="L813" s="19"/>
      <c r="M813" s="19" t="str">
        <f>IFERROR(__xludf.DUMMYFUNCTION("""COMPUTED_VALUE"""),"PCM")</f>
        <v>PCM</v>
      </c>
      <c r="N813" s="19" t="str">
        <f>IFERROR(__xludf.DUMMYFUNCTION("""COMPUTED_VALUE"""),"PRIORIDAD 1 Q3 2023 OCTUBRE")</f>
        <v>PRIORIDAD 1 Q3 2023 OCTUBRE</v>
      </c>
    </row>
    <row r="814" ht="15.75" customHeight="1">
      <c r="A814" s="19" t="str">
        <f>IFERROR(__xludf.DUMMYFUNCTION("""COMPUTED_VALUE"""),"AB_10178")</f>
        <v>AB_10178</v>
      </c>
      <c r="B814" s="19" t="str">
        <f>IFERROR(__xludf.DUMMYFUNCTION("""COMPUTED_VALUE"""),"AB_10178_A")</f>
        <v>AB_10178_A</v>
      </c>
      <c r="C814" s="19" t="str">
        <f>IFERROR(__xludf.DUMMYFUNCTION("""COMPUTED_VALUE"""),"RM10178")</f>
        <v>RM10178</v>
      </c>
      <c r="D814" s="19" t="str">
        <f>IFERROR(__xludf.DUMMYFUNCTION("""COMPUTED_VALUE"""),"Radial N-O Quebrada Manquehue")</f>
        <v>Radial N-O Quebrada Manquehue</v>
      </c>
      <c r="E814" s="19" t="str">
        <f>IFERROR(__xludf.DUMMYFUNCTION("""COMPUTED_VALUE"""),"SITIO PENDIENTE")</f>
        <v>SITIO PENDIENTE</v>
      </c>
      <c r="F814" s="19"/>
      <c r="G814" s="19" t="str">
        <f>IFERROR(__xludf.DUMMYFUNCTION("""COMPUTED_VALUE"""),"CV36")</f>
        <v>CV36</v>
      </c>
      <c r="H814" s="19" t="str">
        <f>IFERROR(__xludf.DUMMYFUNCTION("""COMPUTED_VALUE"""),"")</f>
        <v/>
      </c>
      <c r="I814" s="19" t="str">
        <f>IFERROR(__xludf.DUMMYFUNCTION("""COMPUTED_VALUE"""),"")</f>
        <v/>
      </c>
      <c r="J814" s="20" t="str">
        <f>IFERROR(__xludf.DUMMYFUNCTION("""COMPUTED_VALUE"""),"")</f>
        <v/>
      </c>
      <c r="K814" s="19" t="str">
        <f>IFERROR(__xludf.DUMMYFUNCTION("""COMPUTED_VALUE"""),"")</f>
        <v/>
      </c>
      <c r="L814" s="20" t="str">
        <f>IFERROR(__xludf.DUMMYFUNCTION("""COMPUTED_VALUE"""),"")</f>
        <v/>
      </c>
      <c r="M814" s="19" t="str">
        <f>IFERROR(__xludf.DUMMYFUNCTION("""COMPUTED_VALUE"""),"PCM")</f>
        <v>PCM</v>
      </c>
      <c r="N814" s="19" t="str">
        <f>IFERROR(__xludf.DUMMYFUNCTION("""COMPUTED_VALUE"""),"PRIORIDAD 3 Q1 2024 MARZO")</f>
        <v>PRIORIDAD 3 Q1 2024 MARZO</v>
      </c>
    </row>
    <row r="815" ht="15.75" customHeight="1">
      <c r="A815" s="21" t="str">
        <f>IFERROR(__xludf.DUMMYFUNCTION("""COMPUTED_VALUE"""),"AB_10180")</f>
        <v>AB_10180</v>
      </c>
      <c r="B815" s="19" t="str">
        <f>IFERROR(__xludf.DUMMYFUNCTION("""COMPUTED_VALUE"""),"AB_10180_A")</f>
        <v>AB_10180_A</v>
      </c>
      <c r="C815" s="19" t="str">
        <f>IFERROR(__xludf.DUMMYFUNCTION("""COMPUTED_VALUE"""),"RM10180")</f>
        <v>RM10180</v>
      </c>
      <c r="D815" s="19" t="str">
        <f>IFERROR(__xludf.DUMMYFUNCTION("""COMPUTED_VALUE"""),"Sendero Cerro La Cruz Peñalolen")</f>
        <v>Sendero Cerro La Cruz Peñalolen</v>
      </c>
      <c r="E815" s="19" t="str">
        <f>IFERROR(__xludf.DUMMYFUNCTION("""COMPUTED_VALUE"""),"DETENIDO SAC")</f>
        <v>DETENIDO SAC</v>
      </c>
      <c r="F815" s="19" t="str">
        <f>IFERROR(__xludf.DUMMYFUNCTION("""COMPUTED_VALUE"""),"VISITA")</f>
        <v>VISITA</v>
      </c>
      <c r="G815" s="19" t="str">
        <f>IFERROR(__xludf.DUMMYFUNCTION("""COMPUTED_VALUE"""),"CV30")</f>
        <v>CV30</v>
      </c>
      <c r="H815" s="19" t="str">
        <f>IFERROR(__xludf.DUMMYFUNCTION("""COMPUTED_VALUE"""),"INCOSERV")</f>
        <v>INCOSERV</v>
      </c>
      <c r="I815" s="19" t="str">
        <f>IFERROR(__xludf.DUMMYFUNCTION("""COMPUTED_VALUE"""),"Terminada")</f>
        <v>Terminada</v>
      </c>
      <c r="J815" s="20">
        <f>IFERROR(__xludf.DUMMYFUNCTION("""COMPUTED_VALUE"""),45034.0)</f>
        <v>45034</v>
      </c>
      <c r="K815" s="19" t="str">
        <f>IFERROR(__xludf.DUMMYFUNCTION("""COMPUTED_VALUE"""),"Por pintar ")</f>
        <v>Por pintar </v>
      </c>
      <c r="L815" s="20">
        <f>IFERROR(__xludf.DUMMYFUNCTION("""COMPUTED_VALUE"""),45066.0)</f>
        <v>45066</v>
      </c>
      <c r="M815" s="19" t="str">
        <f>IFERROR(__xludf.DUMMYFUNCTION("""COMPUTED_VALUE"""),"PCM")</f>
        <v>PCM</v>
      </c>
      <c r="N815" s="19" t="str">
        <f>IFERROR(__xludf.DUMMYFUNCTION("""COMPUTED_VALUE"""),"PRIORIDAD 2 Q4 2023 DICIEMBRE")</f>
        <v>PRIORIDAD 2 Q4 2023 DICIEMBRE</v>
      </c>
    </row>
    <row r="816" ht="15.75" customHeight="1">
      <c r="A816" s="19" t="str">
        <f>IFERROR(__xludf.DUMMYFUNCTION("""COMPUTED_VALUE"""),"AB_10181")</f>
        <v>AB_10181</v>
      </c>
      <c r="B816" s="19" t="str">
        <f>IFERROR(__xludf.DUMMYFUNCTION("""COMPUTED_VALUE"""),"AB_10181_D")</f>
        <v>AB_10181_D</v>
      </c>
      <c r="C816" s="19" t="str">
        <f>IFERROR(__xludf.DUMMYFUNCTION("""COMPUTED_VALUE"""),"RM10181")</f>
        <v>RM10181</v>
      </c>
      <c r="D816" s="19" t="str">
        <f>IFERROR(__xludf.DUMMYFUNCTION("""COMPUTED_VALUE"""),"La Cumbre Sta. Ma. Mqhue")</f>
        <v>La Cumbre Sta. Ma. Mqhue</v>
      </c>
      <c r="E816" s="19" t="str">
        <f>IFERROR(__xludf.DUMMYFUNCTION("""COMPUTED_VALUE"""),"SITIO RFI")</f>
        <v>SITIO RFI</v>
      </c>
      <c r="F816" s="19" t="str">
        <f>IFERROR(__xludf.DUMMYFUNCTION("""COMPUTED_VALUE"""),"RFI")</f>
        <v>RFI</v>
      </c>
      <c r="G816" s="19" t="str">
        <f>IFERROR(__xludf.DUMMYFUNCTION("""COMPUTED_VALUE"""),"AZOTEA")</f>
        <v>AZOTEA</v>
      </c>
      <c r="H816" s="19" t="str">
        <f>IFERROR(__xludf.DUMMYFUNCTION("""COMPUTED_VALUE"""),"x")</f>
        <v>x</v>
      </c>
      <c r="I816" s="19" t="str">
        <f>IFERROR(__xludf.DUMMYFUNCTION("""COMPUTED_VALUE"""),"x")</f>
        <v>x</v>
      </c>
      <c r="J816" s="20" t="str">
        <f>IFERROR(__xludf.DUMMYFUNCTION("""COMPUTED_VALUE"""),"x")</f>
        <v>x</v>
      </c>
      <c r="K816" s="19" t="str">
        <f>IFERROR(__xludf.DUMMYFUNCTION("""COMPUTED_VALUE"""),"x")</f>
        <v>x</v>
      </c>
      <c r="L816" s="20" t="str">
        <f>IFERROR(__xludf.DUMMYFUNCTION("""COMPUTED_VALUE"""),"x")</f>
        <v>x</v>
      </c>
      <c r="M816" s="19" t="str">
        <f>IFERROR(__xludf.DUMMYFUNCTION("""COMPUTED_VALUE"""),"PCM")</f>
        <v>PCM</v>
      </c>
      <c r="N816" s="19" t="str">
        <f>IFERROR(__xludf.DUMMYFUNCTION("""COMPUTED_VALUE"""),"PRIORIDAD 1 Q3 2023 OCTUBRE")</f>
        <v>PRIORIDAD 1 Q3 2023 OCTUBRE</v>
      </c>
    </row>
    <row r="817" ht="15.75" customHeight="1">
      <c r="A817" s="19" t="str">
        <f>IFERROR(__xludf.DUMMYFUNCTION("""COMPUTED_VALUE"""),"AB_10182")</f>
        <v>AB_10182</v>
      </c>
      <c r="B817" s="19" t="str">
        <f>IFERROR(__xludf.DUMMYFUNCTION("""COMPUTED_VALUE"""),"AB_10182_A")</f>
        <v>AB_10182_A</v>
      </c>
      <c r="C817" s="19" t="str">
        <f>IFERROR(__xludf.DUMMYFUNCTION("""COMPUTED_VALUE"""),"RM10182")</f>
        <v>RM10182</v>
      </c>
      <c r="D817" s="19" t="str">
        <f>IFERROR(__xludf.DUMMYFUNCTION("""COMPUTED_VALUE"""),"Cerro Montegordo")</f>
        <v>Cerro Montegordo</v>
      </c>
      <c r="E817" s="19" t="str">
        <f>IFERROR(__xludf.DUMMYFUNCTION("""COMPUTED_VALUE"""),"SITIO PENDIENTE")</f>
        <v>SITIO PENDIENTE</v>
      </c>
      <c r="F817" s="19"/>
      <c r="G817" s="19" t="str">
        <f>IFERROR(__xludf.DUMMYFUNCTION("""COMPUTED_VALUE"""),"CV36")</f>
        <v>CV36</v>
      </c>
      <c r="H817" s="19" t="str">
        <f>IFERROR(__xludf.DUMMYFUNCTION("""COMPUTED_VALUE"""),"")</f>
        <v/>
      </c>
      <c r="I817" s="19" t="str">
        <f>IFERROR(__xludf.DUMMYFUNCTION("""COMPUTED_VALUE"""),"")</f>
        <v/>
      </c>
      <c r="J817" s="20" t="str">
        <f>IFERROR(__xludf.DUMMYFUNCTION("""COMPUTED_VALUE"""),"")</f>
        <v/>
      </c>
      <c r="K817" s="19" t="str">
        <f>IFERROR(__xludf.DUMMYFUNCTION("""COMPUTED_VALUE"""),"")</f>
        <v/>
      </c>
      <c r="L817" s="20" t="str">
        <f>IFERROR(__xludf.DUMMYFUNCTION("""COMPUTED_VALUE"""),"")</f>
        <v/>
      </c>
      <c r="M817" s="19" t="str">
        <f>IFERROR(__xludf.DUMMYFUNCTION("""COMPUTED_VALUE"""),"PCM")</f>
        <v>PCM</v>
      </c>
      <c r="N817" s="19" t="str">
        <f>IFERROR(__xludf.DUMMYFUNCTION("""COMPUTED_VALUE"""),"PRIORIDAD 3 Q1 2024 MARZO")</f>
        <v>PRIORIDAD 3 Q1 2024 MARZO</v>
      </c>
    </row>
    <row r="818" ht="15.75" customHeight="1">
      <c r="A818" s="19" t="str">
        <f>IFERROR(__xludf.DUMMYFUNCTION("""COMPUTED_VALUE"""),"AB_9742")</f>
        <v>AB_9742</v>
      </c>
      <c r="B818" s="19" t="str">
        <f>IFERROR(__xludf.DUMMYFUNCTION("""COMPUTED_VALUE"""),"AB_9742_B")</f>
        <v>AB_9742_B</v>
      </c>
      <c r="C818" s="19" t="str">
        <f>IFERROR(__xludf.DUMMYFUNCTION("""COMPUTED_VALUE"""),"NU9742")</f>
        <v>NU9742</v>
      </c>
      <c r="D818" s="19" t="str">
        <f>IFERROR(__xludf.DUMMYFUNCTION("""COMPUTED_VALUE"""),"Pinihue")</f>
        <v>Pinihue</v>
      </c>
      <c r="E818" s="19" t="str">
        <f>IFERROR(__xludf.DUMMYFUNCTION("""COMPUTED_VALUE"""),"SITIO CONSTRUIDO")</f>
        <v>SITIO CONSTRUIDO</v>
      </c>
      <c r="F818" s="19" t="str">
        <f>IFERROR(__xludf.DUMMYFUNCTION("""COMPUTED_VALUE"""),"ENFIERRADURA")</f>
        <v>ENFIERRADURA</v>
      </c>
      <c r="G818" s="19" t="str">
        <f>IFERROR(__xludf.DUMMYFUNCTION("""COMPUTED_VALUE"""),"AS60")</f>
        <v>AS60</v>
      </c>
      <c r="H818" s="19" t="str">
        <f>IFERROR(__xludf.DUMMYFUNCTION("""COMPUTED_VALUE"""),"ADM")</f>
        <v>ADM</v>
      </c>
      <c r="I818" s="19" t="str">
        <f>IFERROR(__xludf.DUMMYFUNCTION("""COMPUTED_VALUE"""),"Terminada")</f>
        <v>Terminada</v>
      </c>
      <c r="J818" s="20">
        <f>IFERROR(__xludf.DUMMYFUNCTION("""COMPUTED_VALUE"""),44750.0)</f>
        <v>44750</v>
      </c>
      <c r="K818" s="19" t="str">
        <f>IFERROR(__xludf.DUMMYFUNCTION("""COMPUTED_VALUE"""),"Terminada")</f>
        <v>Terminada</v>
      </c>
      <c r="L818" s="20">
        <f>IFERROR(__xludf.DUMMYFUNCTION("""COMPUTED_VALUE"""),44890.0)</f>
        <v>44890</v>
      </c>
      <c r="M818" s="19" t="str">
        <f>IFERROR(__xludf.DUMMYFUNCTION("""COMPUTED_VALUE"""),"LLOO")</f>
        <v>LLOO</v>
      </c>
      <c r="N818" s="19" t="str">
        <f>IFERROR(__xludf.DUMMYFUNCTION("""COMPUTED_VALUE"""),"PRIORIDAD 1 Q3 2023 OCTUBRE")</f>
        <v>PRIORIDAD 1 Q3 2023 OCTUBRE</v>
      </c>
    </row>
    <row r="819" ht="15.75" customHeight="1">
      <c r="A819" s="19" t="str">
        <f>IFERROR(__xludf.DUMMYFUNCTION("""COMPUTED_VALUE"""),"AB_10222")</f>
        <v>AB_10222</v>
      </c>
      <c r="B819" s="19" t="str">
        <f>IFERROR(__xludf.DUMMYFUNCTION("""COMPUTED_VALUE"""),"AB_10222_B")</f>
        <v>AB_10222_B</v>
      </c>
      <c r="C819" s="19" t="str">
        <f>IFERROR(__xludf.DUMMYFUNCTION("""COMPUTED_VALUE"""),"RM10222")</f>
        <v>RM10222</v>
      </c>
      <c r="D819" s="19" t="str">
        <f>IFERROR(__xludf.DUMMYFUNCTION("""COMPUTED_VALUE"""),"Cerros de Huechuraba")</f>
        <v>Cerros de Huechuraba</v>
      </c>
      <c r="E819" s="19" t="str">
        <f>IFERROR(__xludf.DUMMYFUNCTION("""COMPUTED_VALUE"""),"SITIO EN CONSTRUCCION")</f>
        <v>SITIO EN CONSTRUCCION</v>
      </c>
      <c r="F819" s="19" t="str">
        <f>IFERROR(__xludf.DUMMYFUNCTION("""COMPUTED_VALUE"""),"EXCAVACION")</f>
        <v>EXCAVACION</v>
      </c>
      <c r="G819" s="19" t="str">
        <f>IFERROR(__xludf.DUMMYFUNCTION("""COMPUTED_VALUE"""),"CV36")</f>
        <v>CV36</v>
      </c>
      <c r="H819" s="19" t="str">
        <f>IFERROR(__xludf.DUMMYFUNCTION("""COMPUTED_VALUE"""),"AJ")</f>
        <v>AJ</v>
      </c>
      <c r="I819" s="19" t="str">
        <f>IFERROR(__xludf.DUMMYFUNCTION("""COMPUTED_VALUE"""),"Terminada")</f>
        <v>Terminada</v>
      </c>
      <c r="J819" s="20">
        <f>IFERROR(__xludf.DUMMYFUNCTION("""COMPUTED_VALUE"""),44697.0)</f>
        <v>44697</v>
      </c>
      <c r="K819" s="19" t="str">
        <f>IFERROR(__xludf.DUMMYFUNCTION("""COMPUTED_VALUE"""),"Por pintar ")</f>
        <v>Por pintar </v>
      </c>
      <c r="L819" s="20">
        <f>IFERROR(__xludf.DUMMYFUNCTION("""COMPUTED_VALUE"""),44855.0)</f>
        <v>44855</v>
      </c>
      <c r="M819" s="19" t="str">
        <f>IFERROR(__xludf.DUMMYFUNCTION("""COMPUTED_VALUE"""),"PCM")</f>
        <v>PCM</v>
      </c>
      <c r="N819" s="19" t="str">
        <f>IFERROR(__xludf.DUMMYFUNCTION("""COMPUTED_VALUE"""),"PRIORIDAD 1 Q3 2023 OCTUBRE")</f>
        <v>PRIORIDAD 1 Q3 2023 OCTUBRE</v>
      </c>
    </row>
    <row r="820" ht="15.75" customHeight="1">
      <c r="A820" s="19" t="str">
        <f>IFERROR(__xludf.DUMMYFUNCTION("""COMPUTED_VALUE"""),"AB_10223")</f>
        <v>AB_10223</v>
      </c>
      <c r="B820" s="19" t="str">
        <f>IFERROR(__xludf.DUMMYFUNCTION("""COMPUTED_VALUE"""),"AB_10223_B")</f>
        <v>AB_10223_B</v>
      </c>
      <c r="C820" s="19" t="str">
        <f>IFERROR(__xludf.DUMMYFUNCTION("""COMPUTED_VALUE"""),"RM10223")</f>
        <v>RM10223</v>
      </c>
      <c r="D820" s="19" t="str">
        <f>IFERROR(__xludf.DUMMYFUNCTION("""COMPUTED_VALUE"""),"Radial Nor Oriente 1")</f>
        <v>Radial Nor Oriente 1</v>
      </c>
      <c r="E820" s="19" t="str">
        <f>IFERROR(__xludf.DUMMYFUNCTION("""COMPUTED_VALUE"""),"SITIO PENDIENTE")</f>
        <v>SITIO PENDIENTE</v>
      </c>
      <c r="F820" s="19"/>
      <c r="G820" s="19" t="str">
        <f>IFERROR(__xludf.DUMMYFUNCTION("""COMPUTED_VALUE"""),"MP R24")</f>
        <v>MP R24</v>
      </c>
      <c r="H820" s="19" t="str">
        <f>IFERROR(__xludf.DUMMYFUNCTION("""COMPUTED_VALUE"""),"COMPRAS")</f>
        <v>COMPRAS</v>
      </c>
      <c r="I820" s="19"/>
      <c r="J820" s="19"/>
      <c r="K820" s="19"/>
      <c r="L820" s="19"/>
      <c r="M820" s="19" t="str">
        <f>IFERROR(__xludf.DUMMYFUNCTION("""COMPUTED_VALUE"""),"PCM")</f>
        <v>PCM</v>
      </c>
      <c r="N820" s="19" t="str">
        <f>IFERROR(__xludf.DUMMYFUNCTION("""COMPUTED_VALUE"""),"PRIORIDAD 3 Q1 2024 MARZO")</f>
        <v>PRIORIDAD 3 Q1 2024 MARZO</v>
      </c>
    </row>
    <row r="821" ht="15.75" customHeight="1">
      <c r="A821" s="19" t="str">
        <f>IFERROR(__xludf.DUMMYFUNCTION("""COMPUTED_VALUE"""),"AB_10224")</f>
        <v>AB_10224</v>
      </c>
      <c r="B821" s="19" t="str">
        <f>IFERROR(__xludf.DUMMYFUNCTION("""COMPUTED_VALUE"""),"AB_10224_B")</f>
        <v>AB_10224_B</v>
      </c>
      <c r="C821" s="19" t="str">
        <f>IFERROR(__xludf.DUMMYFUNCTION("""COMPUTED_VALUE"""),"RM10224")</f>
        <v>RM10224</v>
      </c>
      <c r="D821" s="19" t="str">
        <f>IFERROR(__xludf.DUMMYFUNCTION("""COMPUTED_VALUE"""),"Bosques del Polo Vitacura")</f>
        <v>Bosques del Polo Vitacura</v>
      </c>
      <c r="E821" s="19" t="str">
        <f>IFERROR(__xludf.DUMMYFUNCTION("""COMPUTED_VALUE"""),"SITIO PENDIENTE")</f>
        <v>SITIO PENDIENTE</v>
      </c>
      <c r="F821" s="19"/>
      <c r="G821" s="19" t="str">
        <f>IFERROR(__xludf.DUMMYFUNCTION("""COMPUTED_VALUE"""),"MP PE20")</f>
        <v>MP PE20</v>
      </c>
      <c r="H821" s="19" t="str">
        <f>IFERROR(__xludf.DUMMYFUNCTION("""COMPUTED_VALUE"""),"COMPRAS")</f>
        <v>COMPRAS</v>
      </c>
      <c r="I821" s="19"/>
      <c r="J821" s="19"/>
      <c r="K821" s="19"/>
      <c r="L821" s="19"/>
      <c r="M821" s="19" t="str">
        <f>IFERROR(__xludf.DUMMYFUNCTION("""COMPUTED_VALUE"""),"PCM")</f>
        <v>PCM</v>
      </c>
      <c r="N821" s="19" t="str">
        <f>IFERROR(__xludf.DUMMYFUNCTION("""COMPUTED_VALUE"""),"PRIORIDAD 3 Q1 2024 MARZO")</f>
        <v>PRIORIDAD 3 Q1 2024 MARZO</v>
      </c>
    </row>
    <row r="822" ht="15.75" customHeight="1">
      <c r="A822" s="19" t="str">
        <f>IFERROR(__xludf.DUMMYFUNCTION("""COMPUTED_VALUE"""),"AB_10225")</f>
        <v>AB_10225</v>
      </c>
      <c r="B822" s="19" t="str">
        <f>IFERROR(__xludf.DUMMYFUNCTION("""COMPUTED_VALUE"""),"AB_10225_B")</f>
        <v>AB_10225_B</v>
      </c>
      <c r="C822" s="19" t="str">
        <f>IFERROR(__xludf.DUMMYFUNCTION("""COMPUTED_VALUE"""),"RM10225")</f>
        <v>RM10225</v>
      </c>
      <c r="D822" s="19" t="str">
        <f>IFERROR(__xludf.DUMMYFUNCTION("""COMPUTED_VALUE"""),"Faldas del Manquehue Lo Curro")</f>
        <v>Faldas del Manquehue Lo Curro</v>
      </c>
      <c r="E822" s="19" t="str">
        <f>IFERROR(__xludf.DUMMYFUNCTION("""COMPUTED_VALUE"""),"SITIO PENDIENTE")</f>
        <v>SITIO PENDIENTE</v>
      </c>
      <c r="F822" s="19"/>
      <c r="G822" s="19" t="str">
        <f>IFERROR(__xludf.DUMMYFUNCTION("""COMPUTED_VALUE"""),"CV24")</f>
        <v>CV24</v>
      </c>
      <c r="H822" s="19" t="str">
        <f>IFERROR(__xludf.DUMMYFUNCTION("""COMPUTED_VALUE"""),"INGENIUS")</f>
        <v>INGENIUS</v>
      </c>
      <c r="I822" s="19" t="str">
        <f>IFERROR(__xludf.DUMMYFUNCTION("""COMPUTED_VALUE"""),"Terminada")</f>
        <v>Terminada</v>
      </c>
      <c r="J822" s="20">
        <f>IFERROR(__xludf.DUMMYFUNCTION("""COMPUTED_VALUE"""),45041.0)</f>
        <v>45041</v>
      </c>
      <c r="K822" s="19" t="str">
        <f>IFERROR(__xludf.DUMMYFUNCTION("""COMPUTED_VALUE"""),"Por pintar ")</f>
        <v>Por pintar </v>
      </c>
      <c r="L822" s="20">
        <f>IFERROR(__xludf.DUMMYFUNCTION("""COMPUTED_VALUE"""),45062.0)</f>
        <v>45062</v>
      </c>
      <c r="M822" s="19" t="str">
        <f>IFERROR(__xludf.DUMMYFUNCTION("""COMPUTED_VALUE"""),"PCM")</f>
        <v>PCM</v>
      </c>
      <c r="N822" s="19" t="str">
        <f>IFERROR(__xludf.DUMMYFUNCTION("""COMPUTED_VALUE"""),"PRIORIDAD 3 Q1 2024 MARZO")</f>
        <v>PRIORIDAD 3 Q1 2024 MARZO</v>
      </c>
    </row>
    <row r="823" ht="15.75" customHeight="1">
      <c r="A823" s="19" t="str">
        <f>IFERROR(__xludf.DUMMYFUNCTION("""COMPUTED_VALUE"""),"AB_10239")</f>
        <v>AB_10239</v>
      </c>
      <c r="B823" s="19" t="str">
        <f>IFERROR(__xludf.DUMMYFUNCTION("""COMPUTED_VALUE"""),"AB_10239_C")</f>
        <v>AB_10239_C</v>
      </c>
      <c r="C823" s="19" t="str">
        <f>IFERROR(__xludf.DUMMYFUNCTION("""COMPUTED_VALUE"""),"RM10239")</f>
        <v>RM10239</v>
      </c>
      <c r="D823" s="19" t="str">
        <f>IFERROR(__xludf.DUMMYFUNCTION("""COMPUTED_VALUE"""),"CCU Renca")</f>
        <v>CCU Renca</v>
      </c>
      <c r="E823" s="19" t="str">
        <f>IFERROR(__xludf.DUMMYFUNCTION("""COMPUTED_VALUE"""),"SITIO CONSTRUIDO")</f>
        <v>SITIO CONSTRUIDO</v>
      </c>
      <c r="F823" s="19" t="str">
        <f>IFERROR(__xludf.DUMMYFUNCTION("""COMPUTED_VALUE"""),"HORMIGONADO")</f>
        <v>HORMIGONADO</v>
      </c>
      <c r="G823" s="19" t="str">
        <f>IFERROR(__xludf.DUMMYFUNCTION("""COMPUTED_VALUE"""),"MP R40")</f>
        <v>MP R40</v>
      </c>
      <c r="H823" s="19" t="str">
        <f>IFERROR(__xludf.DUMMYFUNCTION("""COMPUTED_VALUE"""),"MER")</f>
        <v>MER</v>
      </c>
      <c r="I823" s="19" t="str">
        <f>IFERROR(__xludf.DUMMYFUNCTION("""COMPUTED_VALUE"""),"Terminada")</f>
        <v>Terminada</v>
      </c>
      <c r="J823" s="20">
        <f>IFERROR(__xludf.DUMMYFUNCTION("""COMPUTED_VALUE"""),44729.0)</f>
        <v>44729</v>
      </c>
      <c r="K823" s="19" t="str">
        <f>IFERROR(__xludf.DUMMYFUNCTION("""COMPUTED_VALUE"""),"Por pintar ")</f>
        <v>Por pintar </v>
      </c>
      <c r="L823" s="20">
        <f>IFERROR(__xludf.DUMMYFUNCTION("""COMPUTED_VALUE"""),44729.0)</f>
        <v>44729</v>
      </c>
      <c r="M823" s="19" t="str">
        <f>IFERROR(__xludf.DUMMYFUNCTION("""COMPUTED_VALUE"""),"PCM")</f>
        <v>PCM</v>
      </c>
      <c r="N823" s="19" t="str">
        <f>IFERROR(__xludf.DUMMYFUNCTION("""COMPUTED_VALUE"""),"PRIORIDAD 3 Q1 2024 MARZO")</f>
        <v>PRIORIDAD 3 Q1 2024 MARZO</v>
      </c>
    </row>
    <row r="824" ht="15.75" customHeight="1">
      <c r="A824" s="19" t="str">
        <f>IFERROR(__xludf.DUMMYFUNCTION("""COMPUTED_VALUE"""),"AB_10240")</f>
        <v>AB_10240</v>
      </c>
      <c r="B824" s="19" t="str">
        <f>IFERROR(__xludf.DUMMYFUNCTION("""COMPUTED_VALUE"""),"AB_10240_A")</f>
        <v>AB_10240_A</v>
      </c>
      <c r="C824" s="19" t="str">
        <f>IFERROR(__xludf.DUMMYFUNCTION("""COMPUTED_VALUE"""),"RM10240")</f>
        <v>RM10240</v>
      </c>
      <c r="D824" s="19" t="str">
        <f>IFERROR(__xludf.DUMMYFUNCTION("""COMPUTED_VALUE"""),"Acceso a Sendero Los Peumos")</f>
        <v>Acceso a Sendero Los Peumos</v>
      </c>
      <c r="E824" s="19" t="str">
        <f>IFERROR(__xludf.DUMMYFUNCTION("""COMPUTED_VALUE"""),"SITIO PENDIENTE")</f>
        <v>SITIO PENDIENTE</v>
      </c>
      <c r="F824" s="19"/>
      <c r="G824" s="19" t="str">
        <f>IFERROR(__xludf.DUMMYFUNCTION("""COMPUTED_VALUE"""),"AS30")</f>
        <v>AS30</v>
      </c>
      <c r="H824" s="19" t="str">
        <f>IFERROR(__xludf.DUMMYFUNCTION("""COMPUTED_VALUE"""),"")</f>
        <v/>
      </c>
      <c r="I824" s="19" t="str">
        <f>IFERROR(__xludf.DUMMYFUNCTION("""COMPUTED_VALUE"""),"")</f>
        <v/>
      </c>
      <c r="J824" s="20" t="str">
        <f>IFERROR(__xludf.DUMMYFUNCTION("""COMPUTED_VALUE"""),"")</f>
        <v/>
      </c>
      <c r="K824" s="19" t="str">
        <f>IFERROR(__xludf.DUMMYFUNCTION("""COMPUTED_VALUE"""),"")</f>
        <v/>
      </c>
      <c r="L824" s="20" t="str">
        <f>IFERROR(__xludf.DUMMYFUNCTION("""COMPUTED_VALUE"""),"")</f>
        <v/>
      </c>
      <c r="M824" s="19" t="str">
        <f>IFERROR(__xludf.DUMMYFUNCTION("""COMPUTED_VALUE"""),"PCM")</f>
        <v>PCM</v>
      </c>
      <c r="N824" s="19" t="str">
        <f>IFERROR(__xludf.DUMMYFUNCTION("""COMPUTED_VALUE"""),"PRIORIDAD 3 Q1 2024 MARZO")</f>
        <v>PRIORIDAD 3 Q1 2024 MARZO</v>
      </c>
    </row>
    <row r="825" ht="15.75" customHeight="1">
      <c r="A825" s="19" t="str">
        <f>IFERROR(__xludf.DUMMYFUNCTION("""COMPUTED_VALUE"""),"AB_10241")</f>
        <v>AB_10241</v>
      </c>
      <c r="B825" s="19" t="str">
        <f>IFERROR(__xludf.DUMMYFUNCTION("""COMPUTED_VALUE"""),"AB_10241_B")</f>
        <v>AB_10241_B</v>
      </c>
      <c r="C825" s="19" t="str">
        <f>IFERROR(__xludf.DUMMYFUNCTION("""COMPUTED_VALUE"""),"RM10241")</f>
        <v>RM10241</v>
      </c>
      <c r="D825" s="19" t="str">
        <f>IFERROR(__xludf.DUMMYFUNCTION("""COMPUTED_VALUE"""),"Cerro La Piramide")</f>
        <v>Cerro La Piramide</v>
      </c>
      <c r="E825" s="19" t="str">
        <f>IFERROR(__xludf.DUMMYFUNCTION("""COMPUTED_VALUE"""),"SITIO PENDIENTE")</f>
        <v>SITIO PENDIENTE</v>
      </c>
      <c r="F825" s="19"/>
      <c r="G825" s="19" t="str">
        <f>IFERROR(__xludf.DUMMYFUNCTION("""COMPUTED_VALUE"""),"MP R36")</f>
        <v>MP R36</v>
      </c>
      <c r="H825" s="19" t="str">
        <f>IFERROR(__xludf.DUMMYFUNCTION("""COMPUTED_VALUE"""),"COMPRAS")</f>
        <v>COMPRAS</v>
      </c>
      <c r="I825" s="19"/>
      <c r="J825" s="19"/>
      <c r="K825" s="19"/>
      <c r="L825" s="19"/>
      <c r="M825" s="19" t="str">
        <f>IFERROR(__xludf.DUMMYFUNCTION("""COMPUTED_VALUE"""),"PCM")</f>
        <v>PCM</v>
      </c>
      <c r="N825" s="19" t="str">
        <f>IFERROR(__xludf.DUMMYFUNCTION("""COMPUTED_VALUE"""),"PRIORIDAD 3 Q1 2024 MARZO")</f>
        <v>PRIORIDAD 3 Q1 2024 MARZO</v>
      </c>
    </row>
    <row r="826" ht="15.75" customHeight="1">
      <c r="A826" s="19" t="str">
        <f>IFERROR(__xludf.DUMMYFUNCTION("""COMPUTED_VALUE"""),"AB_10242")</f>
        <v>AB_10242</v>
      </c>
      <c r="B826" s="19" t="str">
        <f>IFERROR(__xludf.DUMMYFUNCTION("""COMPUTED_VALUE"""),"AB_10242_A")</f>
        <v>AB_10242_A</v>
      </c>
      <c r="C826" s="19" t="str">
        <f>IFERROR(__xludf.DUMMYFUNCTION("""COMPUTED_VALUE"""),"RM10242")</f>
        <v>RM10242</v>
      </c>
      <c r="D826" s="19" t="str">
        <f>IFERROR(__xludf.DUMMYFUNCTION("""COMPUTED_VALUE"""),"Cerro Manquehue")</f>
        <v>Cerro Manquehue</v>
      </c>
      <c r="E826" s="19" t="str">
        <f>IFERROR(__xludf.DUMMYFUNCTION("""COMPUTED_VALUE"""),"SITIO PENDIENTE")</f>
        <v>SITIO PENDIENTE</v>
      </c>
      <c r="F826" s="19"/>
      <c r="G826" s="19" t="str">
        <f>IFERROR(__xludf.DUMMYFUNCTION("""COMPUTED_VALUE"""),"CV18")</f>
        <v>CV18</v>
      </c>
      <c r="H826" s="19" t="str">
        <f>IFERROR(__xludf.DUMMYFUNCTION("""COMPUTED_VALUE"""),"")</f>
        <v/>
      </c>
      <c r="I826" s="19" t="str">
        <f>IFERROR(__xludf.DUMMYFUNCTION("""COMPUTED_VALUE"""),"")</f>
        <v/>
      </c>
      <c r="J826" s="20" t="str">
        <f>IFERROR(__xludf.DUMMYFUNCTION("""COMPUTED_VALUE"""),"")</f>
        <v/>
      </c>
      <c r="K826" s="19" t="str">
        <f>IFERROR(__xludf.DUMMYFUNCTION("""COMPUTED_VALUE"""),"")</f>
        <v/>
      </c>
      <c r="L826" s="20" t="str">
        <f>IFERROR(__xludf.DUMMYFUNCTION("""COMPUTED_VALUE"""),"")</f>
        <v/>
      </c>
      <c r="M826" s="19" t="str">
        <f>IFERROR(__xludf.DUMMYFUNCTION("""COMPUTED_VALUE"""),"PCM")</f>
        <v>PCM</v>
      </c>
      <c r="N826" s="19" t="str">
        <f>IFERROR(__xludf.DUMMYFUNCTION("""COMPUTED_VALUE"""),"PRIORIDAD 3 Q1 2024 MARZO")</f>
        <v>PRIORIDAD 3 Q1 2024 MARZO</v>
      </c>
    </row>
    <row r="827" ht="15.75" customHeight="1">
      <c r="A827" s="19" t="str">
        <f>IFERROR(__xludf.DUMMYFUNCTION("""COMPUTED_VALUE"""),"AB_10243")</f>
        <v>AB_10243</v>
      </c>
      <c r="B827" s="19" t="str">
        <f>IFERROR(__xludf.DUMMYFUNCTION("""COMPUTED_VALUE"""),"AB_10243_F")</f>
        <v>AB_10243_F</v>
      </c>
      <c r="C827" s="19" t="str">
        <f>IFERROR(__xludf.DUMMYFUNCTION("""COMPUTED_VALUE"""),"RM10243")</f>
        <v>RM10243</v>
      </c>
      <c r="D827" s="19" t="str">
        <f>IFERROR(__xludf.DUMMYFUNCTION("""COMPUTED_VALUE"""),"Acceso Zapadores San Cristobal")</f>
        <v>Acceso Zapadores San Cristobal</v>
      </c>
      <c r="E827" s="19" t="str">
        <f>IFERROR(__xludf.DUMMYFUNCTION("""COMPUTED_VALUE"""),"SITIO RFI")</f>
        <v>SITIO RFI</v>
      </c>
      <c r="F827" s="19" t="str">
        <f>IFERROR(__xludf.DUMMYFUNCTION("""COMPUTED_VALUE"""),"RFI")</f>
        <v>RFI</v>
      </c>
      <c r="G827" s="19" t="str">
        <f>IFERROR(__xludf.DUMMYFUNCTION("""COMPUTED_VALUE"""),"AZOTEA")</f>
        <v>AZOTEA</v>
      </c>
      <c r="H827" s="19" t="str">
        <f>IFERROR(__xludf.DUMMYFUNCTION("""COMPUTED_VALUE"""),"x")</f>
        <v>x</v>
      </c>
      <c r="I827" s="19" t="str">
        <f>IFERROR(__xludf.DUMMYFUNCTION("""COMPUTED_VALUE"""),"x")</f>
        <v>x</v>
      </c>
      <c r="J827" s="20" t="str">
        <f>IFERROR(__xludf.DUMMYFUNCTION("""COMPUTED_VALUE"""),"x")</f>
        <v>x</v>
      </c>
      <c r="K827" s="19" t="str">
        <f>IFERROR(__xludf.DUMMYFUNCTION("""COMPUTED_VALUE"""),"x")</f>
        <v>x</v>
      </c>
      <c r="L827" s="20" t="str">
        <f>IFERROR(__xludf.DUMMYFUNCTION("""COMPUTED_VALUE"""),"x")</f>
        <v>x</v>
      </c>
      <c r="M827" s="19" t="str">
        <f>IFERROR(__xludf.DUMMYFUNCTION("""COMPUTED_VALUE"""),"PCM")</f>
        <v>PCM</v>
      </c>
      <c r="N827" s="19" t="str">
        <f>IFERROR(__xludf.DUMMYFUNCTION("""COMPUTED_VALUE"""),"PRIORIDAD 1 Q3 2023 OCTUBRE")</f>
        <v>PRIORIDAD 1 Q3 2023 OCTUBRE</v>
      </c>
    </row>
    <row r="828" ht="15.75" customHeight="1">
      <c r="A828" s="19" t="str">
        <f>IFERROR(__xludf.DUMMYFUNCTION("""COMPUTED_VALUE"""),"AB_10244")</f>
        <v>AB_10244</v>
      </c>
      <c r="B828" s="19" t="str">
        <f>IFERROR(__xludf.DUMMYFUNCTION("""COMPUTED_VALUE"""),"AB_10244_B")</f>
        <v>AB_10244_B</v>
      </c>
      <c r="C828" s="19" t="str">
        <f>IFERROR(__xludf.DUMMYFUNCTION("""COMPUTED_VALUE"""),"RM10244")</f>
        <v>RM10244</v>
      </c>
      <c r="D828" s="19" t="str">
        <f>IFERROR(__xludf.DUMMYFUNCTION("""COMPUTED_VALUE"""),"Via Morada Manquehue")</f>
        <v>Via Morada Manquehue</v>
      </c>
      <c r="E828" s="19" t="str">
        <f>IFERROR(__xludf.DUMMYFUNCTION("""COMPUTED_VALUE"""),"SITIO RFI")</f>
        <v>SITIO RFI</v>
      </c>
      <c r="F828" s="19" t="str">
        <f>IFERROR(__xludf.DUMMYFUNCTION("""COMPUTED_VALUE"""),"RFI")</f>
        <v>RFI</v>
      </c>
      <c r="G828" s="19" t="str">
        <f>IFERROR(__xludf.DUMMYFUNCTION("""COMPUTED_VALUE"""),"AZOTEA")</f>
        <v>AZOTEA</v>
      </c>
      <c r="H828" s="19" t="str">
        <f>IFERROR(__xludf.DUMMYFUNCTION("""COMPUTED_VALUE"""),"x")</f>
        <v>x</v>
      </c>
      <c r="I828" s="19" t="str">
        <f>IFERROR(__xludf.DUMMYFUNCTION("""COMPUTED_VALUE"""),"x")</f>
        <v>x</v>
      </c>
      <c r="J828" s="20" t="str">
        <f>IFERROR(__xludf.DUMMYFUNCTION("""COMPUTED_VALUE"""),"x")</f>
        <v>x</v>
      </c>
      <c r="K828" s="19" t="str">
        <f>IFERROR(__xludf.DUMMYFUNCTION("""COMPUTED_VALUE"""),"x")</f>
        <v>x</v>
      </c>
      <c r="L828" s="20" t="str">
        <f>IFERROR(__xludf.DUMMYFUNCTION("""COMPUTED_VALUE"""),"x")</f>
        <v>x</v>
      </c>
      <c r="M828" s="19" t="str">
        <f>IFERROR(__xludf.DUMMYFUNCTION("""COMPUTED_VALUE"""),"PCM")</f>
        <v>PCM</v>
      </c>
      <c r="N828" s="19" t="str">
        <f>IFERROR(__xludf.DUMMYFUNCTION("""COMPUTED_VALUE"""),"PRIORIDAD 1 Q3 2023 OCTUBRE")</f>
        <v>PRIORIDAD 1 Q3 2023 OCTUBRE</v>
      </c>
    </row>
    <row r="829" ht="15.75" customHeight="1">
      <c r="A829" s="19" t="str">
        <f>IFERROR(__xludf.DUMMYFUNCTION("""COMPUTED_VALUE"""),"AB_10245")</f>
        <v>AB_10245</v>
      </c>
      <c r="B829" s="19" t="str">
        <f>IFERROR(__xludf.DUMMYFUNCTION("""COMPUTED_VALUE"""),"AB_10245_B")</f>
        <v>AB_10245_B</v>
      </c>
      <c r="C829" s="19" t="str">
        <f>IFERROR(__xludf.DUMMYFUNCTION("""COMPUTED_VALUE"""),"RM10245")</f>
        <v>RM10245</v>
      </c>
      <c r="D829" s="19" t="str">
        <f>IFERROR(__xludf.DUMMYFUNCTION("""COMPUTED_VALUE"""),"Mirador Lo Curro")</f>
        <v>Mirador Lo Curro</v>
      </c>
      <c r="E829" s="19" t="str">
        <f>IFERROR(__xludf.DUMMYFUNCTION("""COMPUTED_VALUE"""),"DETENIDO EN PROCESO LDA")</f>
        <v>DETENIDO EN PROCESO LDA</v>
      </c>
      <c r="F829" s="19"/>
      <c r="G829" s="19" t="str">
        <f>IFERROR(__xludf.DUMMYFUNCTION("""COMPUTED_VALUE"""),"MP PE20")</f>
        <v>MP PE20</v>
      </c>
      <c r="H829" s="19" t="str">
        <f>IFERROR(__xludf.DUMMYFUNCTION("""COMPUTED_VALUE"""),"")</f>
        <v/>
      </c>
      <c r="I829" s="19" t="str">
        <f>IFERROR(__xludf.DUMMYFUNCTION("""COMPUTED_VALUE"""),"")</f>
        <v/>
      </c>
      <c r="J829" s="20" t="str">
        <f>IFERROR(__xludf.DUMMYFUNCTION("""COMPUTED_VALUE"""),"")</f>
        <v/>
      </c>
      <c r="K829" s="19" t="str">
        <f>IFERROR(__xludf.DUMMYFUNCTION("""COMPUTED_VALUE"""),"")</f>
        <v/>
      </c>
      <c r="L829" s="20" t="str">
        <f>IFERROR(__xludf.DUMMYFUNCTION("""COMPUTED_VALUE"""),"")</f>
        <v/>
      </c>
      <c r="M829" s="19" t="str">
        <f>IFERROR(__xludf.DUMMYFUNCTION("""COMPUTED_VALUE"""),"PCM")</f>
        <v>PCM</v>
      </c>
      <c r="N829" s="19" t="str">
        <f>IFERROR(__xludf.DUMMYFUNCTION("""COMPUTED_VALUE"""),"PRIORIDAD 3 Q1 2024 MARZO")</f>
        <v>PRIORIDAD 3 Q1 2024 MARZO</v>
      </c>
    </row>
    <row r="830" ht="15.75" customHeight="1">
      <c r="A830" s="21" t="str">
        <f>IFERROR(__xludf.DUMMYFUNCTION("""COMPUTED_VALUE"""),"AB_1027")</f>
        <v>AB_1027</v>
      </c>
      <c r="B830" s="19" t="str">
        <f>IFERROR(__xludf.DUMMYFUNCTION("""COMPUTED_VALUE"""),"AB_1027_I")</f>
        <v>AB_1027_I</v>
      </c>
      <c r="C830" s="19" t="str">
        <f>IFERROR(__xludf.DUMMYFUNCTION("""COMPUTED_VALUE"""),"RM1027")</f>
        <v>RM1027</v>
      </c>
      <c r="D830" s="19" t="str">
        <f>IFERROR(__xludf.DUMMYFUNCTION("""COMPUTED_VALUE"""),"Aeropuerto Pudahuel Norte")</f>
        <v>Aeropuerto Pudahuel Norte</v>
      </c>
      <c r="E830" s="19" t="str">
        <f>IFERROR(__xludf.DUMMYFUNCTION("""COMPUTED_VALUE"""),"SITIO PENDIENTE")</f>
        <v>SITIO PENDIENTE</v>
      </c>
      <c r="F830" s="19"/>
      <c r="G830" s="19" t="str">
        <f>IFERROR(__xludf.DUMMYFUNCTION("""COMPUTED_VALUE"""),"x")</f>
        <v>x</v>
      </c>
      <c r="H830" s="19" t="str">
        <f>IFERROR(__xludf.DUMMYFUNCTION("""COMPUTED_VALUE"""),"x")</f>
        <v>x</v>
      </c>
      <c r="I830" s="19" t="str">
        <f>IFERROR(__xludf.DUMMYFUNCTION("""COMPUTED_VALUE"""),"x")</f>
        <v>x</v>
      </c>
      <c r="J830" s="20" t="str">
        <f>IFERROR(__xludf.DUMMYFUNCTION("""COMPUTED_VALUE"""),"x")</f>
        <v>x</v>
      </c>
      <c r="K830" s="19" t="str">
        <f>IFERROR(__xludf.DUMMYFUNCTION("""COMPUTED_VALUE"""),"x")</f>
        <v>x</v>
      </c>
      <c r="L830" s="20" t="str">
        <f>IFERROR(__xludf.DUMMYFUNCTION("""COMPUTED_VALUE"""),"x")</f>
        <v>x</v>
      </c>
      <c r="M830" s="19" t="str">
        <f>IFERROR(__xludf.DUMMYFUNCTION("""COMPUTED_VALUE"""),"PCM")</f>
        <v>PCM</v>
      </c>
      <c r="N830" s="19" t="str">
        <f>IFERROR(__xludf.DUMMYFUNCTION("""COMPUTED_VALUE"""),"PRIORIDAD 3 Q1 2024 MARZO")</f>
        <v>PRIORIDAD 3 Q1 2024 MARZO</v>
      </c>
    </row>
    <row r="831" ht="15.75" customHeight="1">
      <c r="A831" s="19" t="str">
        <f>IFERROR(__xludf.DUMMYFUNCTION("""COMPUTED_VALUE"""),"AB_1031")</f>
        <v>AB_1031</v>
      </c>
      <c r="B831" s="19" t="str">
        <f>IFERROR(__xludf.DUMMYFUNCTION("""COMPUTED_VALUE"""),"AB_1031_E")</f>
        <v>AB_1031_E</v>
      </c>
      <c r="C831" s="19" t="str">
        <f>IFERROR(__xludf.DUMMYFUNCTION("""COMPUTED_VALUE"""),"RM1031")</f>
        <v>RM1031</v>
      </c>
      <c r="D831" s="19" t="str">
        <f>IFERROR(__xludf.DUMMYFUNCTION("""COMPUTED_VALUE"""),"El Monte Norte")</f>
        <v>El Monte Norte</v>
      </c>
      <c r="E831" s="19" t="str">
        <f>IFERROR(__xludf.DUMMYFUNCTION("""COMPUTED_VALUE"""),"SITIO RFI")</f>
        <v>SITIO RFI</v>
      </c>
      <c r="F831" s="19" t="str">
        <f>IFERROR(__xludf.DUMMYFUNCTION("""COMPUTED_VALUE"""),"RFI")</f>
        <v>RFI</v>
      </c>
      <c r="G831" s="19" t="str">
        <f>IFERROR(__xludf.DUMMYFUNCTION("""COMPUTED_VALUE"""),"AS48")</f>
        <v>AS48</v>
      </c>
      <c r="H831" s="19" t="str">
        <f>IFERROR(__xludf.DUMMYFUNCTION("""COMPUTED_VALUE"""),"JTI")</f>
        <v>JTI</v>
      </c>
      <c r="I831" s="19" t="str">
        <f>IFERROR(__xludf.DUMMYFUNCTION("""COMPUTED_VALUE"""),"Entregada")</f>
        <v>Entregada</v>
      </c>
      <c r="J831" s="20">
        <f>IFERROR(__xludf.DUMMYFUNCTION("""COMPUTED_VALUE"""),44525.0)</f>
        <v>44525</v>
      </c>
      <c r="K831" s="19" t="str">
        <f>IFERROR(__xludf.DUMMYFUNCTION("""COMPUTED_VALUE"""),"Entregada")</f>
        <v>Entregada</v>
      </c>
      <c r="L831" s="20">
        <f>IFERROR(__xludf.DUMMYFUNCTION("""COMPUTED_VALUE"""),44517.0)</f>
        <v>44517</v>
      </c>
      <c r="M831" s="19" t="str">
        <f>IFERROR(__xludf.DUMMYFUNCTION("""COMPUTED_VALUE"""),"PCM")</f>
        <v>PCM</v>
      </c>
      <c r="N831" s="19" t="str">
        <f>IFERROR(__xludf.DUMMYFUNCTION("""COMPUTED_VALUE"""),"PRIORIDAD 1 Q3 2023 OCTUBRE")</f>
        <v>PRIORIDAD 1 Q3 2023 OCTUBRE</v>
      </c>
    </row>
    <row r="832" ht="15.75" customHeight="1">
      <c r="A832" s="19" t="str">
        <f>IFERROR(__xludf.DUMMYFUNCTION("""COMPUTED_VALUE"""),"AB_1044")</f>
        <v>AB_1044</v>
      </c>
      <c r="B832" s="19" t="str">
        <f>IFERROR(__xludf.DUMMYFUNCTION("""COMPUTED_VALUE"""),"AB_1044_O")</f>
        <v>AB_1044_O</v>
      </c>
      <c r="C832" s="19" t="str">
        <f>IFERROR(__xludf.DUMMYFUNCTION("""COMPUTED_VALUE"""),"RM1044")</f>
        <v>RM1044</v>
      </c>
      <c r="D832" s="19" t="str">
        <f>IFERROR(__xludf.DUMMYFUNCTION("""COMPUTED_VALUE"""),"El Manzano - San Jose")</f>
        <v>El Manzano - San Jose</v>
      </c>
      <c r="E832" s="19" t="str">
        <f>IFERROR(__xludf.DUMMYFUNCTION("""COMPUTED_VALUE"""),"SITIO EN CONSTRUCCION")</f>
        <v>SITIO EN CONSTRUCCION</v>
      </c>
      <c r="F832" s="19" t="str">
        <f>IFERROR(__xludf.DUMMYFUNCTION("""COMPUTED_VALUE"""),"VISITA")</f>
        <v>VISITA</v>
      </c>
      <c r="G832" s="19" t="str">
        <f>IFERROR(__xludf.DUMMYFUNCTION("""COMPUTED_VALUE"""),"CV36")</f>
        <v>CV36</v>
      </c>
      <c r="H832" s="19" t="str">
        <f>IFERROR(__xludf.DUMMYFUNCTION("""COMPUTED_VALUE"""),"DEITEL")</f>
        <v>DEITEL</v>
      </c>
      <c r="I832" s="19" t="str">
        <f>IFERROR(__xludf.DUMMYFUNCTION("""COMPUTED_VALUE"""),"Terminada")</f>
        <v>Terminada</v>
      </c>
      <c r="J832" s="20">
        <f>IFERROR(__xludf.DUMMYFUNCTION("""COMPUTED_VALUE"""),44862.0)</f>
        <v>44862</v>
      </c>
      <c r="K832" s="19" t="str">
        <f>IFERROR(__xludf.DUMMYFUNCTION("""COMPUTED_VALUE"""),"Terminada")</f>
        <v>Terminada</v>
      </c>
      <c r="L832" s="20">
        <f>IFERROR(__xludf.DUMMYFUNCTION("""COMPUTED_VALUE"""),44969.0)</f>
        <v>44969</v>
      </c>
      <c r="M832" s="19" t="str">
        <f>IFERROR(__xludf.DUMMYFUNCTION("""COMPUTED_VALUE"""),"PP")</f>
        <v>PP</v>
      </c>
      <c r="N832" s="19" t="str">
        <f>IFERROR(__xludf.DUMMYFUNCTION("""COMPUTED_VALUE"""),"PRIORIDAD 1 Q3 2023 OCTUBRE")</f>
        <v>PRIORIDAD 1 Q3 2023 OCTUBRE</v>
      </c>
    </row>
    <row r="833" ht="15.75" customHeight="1">
      <c r="A833" s="19" t="str">
        <f>IFERROR(__xludf.DUMMYFUNCTION("""COMPUTED_VALUE"""),"AB_10667")</f>
        <v>AB_10667</v>
      </c>
      <c r="B833" s="19" t="str">
        <f>IFERROR(__xludf.DUMMYFUNCTION("""COMPUTED_VALUE"""),"AB_10667_A")</f>
        <v>AB_10667_A</v>
      </c>
      <c r="C833" s="19" t="str">
        <f>IFERROR(__xludf.DUMMYFUNCTION("""COMPUTED_VALUE"""),"OH10667")</f>
        <v>OH10667</v>
      </c>
      <c r="D833" s="19" t="str">
        <f>IFERROR(__xludf.DUMMYFUNCTION("""COMPUTED_VALUE"""),"Oscar Guajardo RU")</f>
        <v>Oscar Guajardo RU</v>
      </c>
      <c r="E833" s="19" t="str">
        <f>IFERROR(__xludf.DUMMYFUNCTION("""COMPUTED_VALUE"""),"DETENIDO FUERA DE PLAN")</f>
        <v>DETENIDO FUERA DE PLAN</v>
      </c>
      <c r="F833" s="19"/>
      <c r="G833" s="19" t="str">
        <f>IFERROR(__xludf.DUMMYFUNCTION("""COMPUTED_VALUE"""),"MP R24")</f>
        <v>MP R24</v>
      </c>
      <c r="H833" s="19" t="str">
        <f>IFERROR(__xludf.DUMMYFUNCTION("""COMPUTED_VALUE"""),"")</f>
        <v/>
      </c>
      <c r="I833" s="19" t="str">
        <f>IFERROR(__xludf.DUMMYFUNCTION("""COMPUTED_VALUE"""),"")</f>
        <v/>
      </c>
      <c r="J833" s="20" t="str">
        <f>IFERROR(__xludf.DUMMYFUNCTION("""COMPUTED_VALUE"""),"")</f>
        <v/>
      </c>
      <c r="K833" s="19" t="str">
        <f>IFERROR(__xludf.DUMMYFUNCTION("""COMPUTED_VALUE"""),"")</f>
        <v/>
      </c>
      <c r="L833" s="20" t="str">
        <f>IFERROR(__xludf.DUMMYFUNCTION("""COMPUTED_VALUE"""),"")</f>
        <v/>
      </c>
      <c r="M833" s="19" t="str">
        <f>IFERROR(__xludf.DUMMYFUNCTION("""COMPUTED_VALUE"""),"PCM_5")</f>
        <v>PCM_5</v>
      </c>
      <c r="N833" s="19" t="str">
        <f>IFERROR(__xludf.DUMMYFUNCTION("""COMPUTED_VALUE"""),"PCM_5")</f>
        <v>PCM_5</v>
      </c>
    </row>
    <row r="834" ht="15.75" customHeight="1">
      <c r="A834" s="19" t="str">
        <f>IFERROR(__xludf.DUMMYFUNCTION("""COMPUTED_VALUE"""),"AB_10443")</f>
        <v>AB_10443</v>
      </c>
      <c r="B834" s="19" t="str">
        <f>IFERROR(__xludf.DUMMYFUNCTION("""COMPUTED_VALUE"""),"AB_10443_C")</f>
        <v>AB_10443_C</v>
      </c>
      <c r="C834" s="19" t="str">
        <f>IFERROR(__xludf.DUMMYFUNCTION("""COMPUTED_VALUE"""),"RM10443")</f>
        <v>RM10443</v>
      </c>
      <c r="D834" s="19" t="str">
        <f>IFERROR(__xludf.DUMMYFUNCTION("""COMPUTED_VALUE"""),"LLOO Huiticalan")</f>
        <v>LLOO Huiticalan</v>
      </c>
      <c r="E834" s="19" t="str">
        <f>IFERROR(__xludf.DUMMYFUNCTION("""COMPUTED_VALUE"""),"SITIO RFI")</f>
        <v>SITIO RFI</v>
      </c>
      <c r="F834" s="19" t="str">
        <f>IFERROR(__xludf.DUMMYFUNCTION("""COMPUTED_VALUE"""),"RFI")</f>
        <v>RFI</v>
      </c>
      <c r="G834" s="19" t="str">
        <f>IFERROR(__xludf.DUMMYFUNCTION("""COMPUTED_VALUE"""),"AS48")</f>
        <v>AS48</v>
      </c>
      <c r="H834" s="19" t="str">
        <f>IFERROR(__xludf.DUMMYFUNCTION("""COMPUTED_VALUE"""),"ADM")</f>
        <v>ADM</v>
      </c>
      <c r="I834" s="19" t="str">
        <f>IFERROR(__xludf.DUMMYFUNCTION("""COMPUTED_VALUE"""),"Entregada")</f>
        <v>Entregada</v>
      </c>
      <c r="J834" s="20">
        <f>IFERROR(__xludf.DUMMYFUNCTION("""COMPUTED_VALUE"""),44750.0)</f>
        <v>44750</v>
      </c>
      <c r="K834" s="19" t="str">
        <f>IFERROR(__xludf.DUMMYFUNCTION("""COMPUTED_VALUE"""),"Entregada")</f>
        <v>Entregada</v>
      </c>
      <c r="L834" s="20">
        <f>IFERROR(__xludf.DUMMYFUNCTION("""COMPUTED_VALUE"""),44785.0)</f>
        <v>44785</v>
      </c>
      <c r="M834" s="19" t="str">
        <f>IFERROR(__xludf.DUMMYFUNCTION("""COMPUTED_VALUE"""),"LLOO")</f>
        <v>LLOO</v>
      </c>
      <c r="N834" s="19" t="str">
        <f>IFERROR(__xludf.DUMMYFUNCTION("""COMPUTED_VALUE"""),"PRIORIDAD 1 Q3 2023 OCTUBRE")</f>
        <v>PRIORIDAD 1 Q3 2023 OCTUBRE</v>
      </c>
    </row>
    <row r="835" ht="15.75" customHeight="1">
      <c r="A835" s="19" t="str">
        <f>IFERROR(__xludf.DUMMYFUNCTION("""COMPUTED_VALUE"""),"AB_10445")</f>
        <v>AB_10445</v>
      </c>
      <c r="B835" s="19" t="str">
        <f>IFERROR(__xludf.DUMMYFUNCTION("""COMPUTED_VALUE"""),"AB_10445_B")</f>
        <v>AB_10445_B</v>
      </c>
      <c r="C835" s="19" t="str">
        <f>IFERROR(__xludf.DUMMYFUNCTION("""COMPUTED_VALUE"""),"RM10445")</f>
        <v>RM10445</v>
      </c>
      <c r="D835" s="19" t="str">
        <f>IFERROR(__xludf.DUMMYFUNCTION("""COMPUTED_VALUE"""),"LLOO San Pedro Frontera")</f>
        <v>LLOO San Pedro Frontera</v>
      </c>
      <c r="E835" s="19" t="str">
        <f>IFERROR(__xludf.DUMMYFUNCTION("""COMPUTED_VALUE"""),"SITIO RFI")</f>
        <v>SITIO RFI</v>
      </c>
      <c r="F835" s="19" t="str">
        <f>IFERROR(__xludf.DUMMYFUNCTION("""COMPUTED_VALUE"""),"RFI")</f>
        <v>RFI</v>
      </c>
      <c r="G835" s="19" t="str">
        <f>IFERROR(__xludf.DUMMYFUNCTION("""COMPUTED_VALUE"""),"AS42")</f>
        <v>AS42</v>
      </c>
      <c r="H835" s="19" t="str">
        <f>IFERROR(__xludf.DUMMYFUNCTION("""COMPUTED_VALUE"""),"MER")</f>
        <v>MER</v>
      </c>
      <c r="I835" s="19" t="str">
        <f>IFERROR(__xludf.DUMMYFUNCTION("""COMPUTED_VALUE"""),"Entregada")</f>
        <v>Entregada</v>
      </c>
      <c r="J835" s="20">
        <f>IFERROR(__xludf.DUMMYFUNCTION("""COMPUTED_VALUE"""),44755.0)</f>
        <v>44755</v>
      </c>
      <c r="K835" s="19" t="str">
        <f>IFERROR(__xludf.DUMMYFUNCTION("""COMPUTED_VALUE"""),"Entregada")</f>
        <v>Entregada</v>
      </c>
      <c r="L835" s="20">
        <f>IFERROR(__xludf.DUMMYFUNCTION("""COMPUTED_VALUE"""),44797.0)</f>
        <v>44797</v>
      </c>
      <c r="M835" s="19" t="str">
        <f>IFERROR(__xludf.DUMMYFUNCTION("""COMPUTED_VALUE"""),"LLOO")</f>
        <v>LLOO</v>
      </c>
      <c r="N835" s="19" t="str">
        <f>IFERROR(__xludf.DUMMYFUNCTION("""COMPUTED_VALUE"""),"PRIORIDAD 1 Q3 2023 OCTUBRE")</f>
        <v>PRIORIDAD 1 Q3 2023 OCTUBRE</v>
      </c>
    </row>
    <row r="836" ht="15.75" customHeight="1">
      <c r="A836" s="19" t="str">
        <f>IFERROR(__xludf.DUMMYFUNCTION("""COMPUTED_VALUE"""),"AB_10473")</f>
        <v>AB_10473</v>
      </c>
      <c r="B836" s="19" t="str">
        <f>IFERROR(__xludf.DUMMYFUNCTION("""COMPUTED_VALUE"""),"AB_10473_D")</f>
        <v>AB_10473_D</v>
      </c>
      <c r="C836" s="19" t="str">
        <f>IFERROR(__xludf.DUMMYFUNCTION("""COMPUTED_VALUE"""),"RM10473")</f>
        <v>RM10473</v>
      </c>
      <c r="D836" s="19" t="str">
        <f>IFERROR(__xludf.DUMMYFUNCTION("""COMPUTED_VALUE"""),"Cienfuegos RU")</f>
        <v>Cienfuegos RU</v>
      </c>
      <c r="E836" s="19" t="str">
        <f>IFERROR(__xludf.DUMMYFUNCTION("""COMPUTED_VALUE"""),"SITIO RFI")</f>
        <v>SITIO RFI</v>
      </c>
      <c r="F836" s="19" t="str">
        <f>IFERROR(__xludf.DUMMYFUNCTION("""COMPUTED_VALUE"""),"RFI")</f>
        <v>RFI</v>
      </c>
      <c r="G836" s="19" t="str">
        <f>IFERROR(__xludf.DUMMYFUNCTION("""COMPUTED_VALUE"""),"x")</f>
        <v>x</v>
      </c>
      <c r="H836" s="19" t="str">
        <f>IFERROR(__xludf.DUMMYFUNCTION("""COMPUTED_VALUE"""),"x")</f>
        <v>x</v>
      </c>
      <c r="I836" s="19" t="str">
        <f>IFERROR(__xludf.DUMMYFUNCTION("""COMPUTED_VALUE"""),"x")</f>
        <v>x</v>
      </c>
      <c r="J836" s="20" t="str">
        <f>IFERROR(__xludf.DUMMYFUNCTION("""COMPUTED_VALUE"""),"x")</f>
        <v>x</v>
      </c>
      <c r="K836" s="19" t="str">
        <f>IFERROR(__xludf.DUMMYFUNCTION("""COMPUTED_VALUE"""),"x")</f>
        <v>x</v>
      </c>
      <c r="L836" s="20" t="str">
        <f>IFERROR(__xludf.DUMMYFUNCTION("""COMPUTED_VALUE"""),"x")</f>
        <v>x</v>
      </c>
      <c r="M836" s="19" t="str">
        <f>IFERROR(__xludf.DUMMYFUNCTION("""COMPUTED_VALUE"""),"PCM")</f>
        <v>PCM</v>
      </c>
      <c r="N836" s="19" t="str">
        <f>IFERROR(__xludf.DUMMYFUNCTION("""COMPUTED_VALUE"""),"PRIORIDAD 1 Q3 2023 OCTUBRE")</f>
        <v>PRIORIDAD 1 Q3 2023 OCTUBRE</v>
      </c>
    </row>
    <row r="837" ht="15.75" customHeight="1">
      <c r="A837" s="19" t="str">
        <f>IFERROR(__xludf.DUMMYFUNCTION("""COMPUTED_VALUE"""),"AB_10626")</f>
        <v>AB_10626</v>
      </c>
      <c r="B837" s="19" t="str">
        <f>IFERROR(__xludf.DUMMYFUNCTION("""COMPUTED_VALUE"""),"AB_10626_A")</f>
        <v>AB_10626_A</v>
      </c>
      <c r="C837" s="19" t="str">
        <f>IFERROR(__xludf.DUMMYFUNCTION("""COMPUTED_VALUE"""),"RM10626")</f>
        <v>RM10626</v>
      </c>
      <c r="D837" s="19" t="str">
        <f>IFERROR(__xludf.DUMMYFUNCTION("""COMPUTED_VALUE"""),"Cerro La Campana Peñaflor RU")</f>
        <v>Cerro La Campana Peñaflor RU</v>
      </c>
      <c r="E837" s="19" t="str">
        <f>IFERROR(__xludf.DUMMYFUNCTION("""COMPUTED_VALUE"""),"SITIO RFI")</f>
        <v>SITIO RFI</v>
      </c>
      <c r="F837" s="19" t="str">
        <f>IFERROR(__xludf.DUMMYFUNCTION("""COMPUTED_VALUE"""),"RFI")</f>
        <v>RFI</v>
      </c>
      <c r="G837" s="19" t="str">
        <f>IFERROR(__xludf.DUMMYFUNCTION("""COMPUTED_VALUE"""),"CV30")</f>
        <v>CV30</v>
      </c>
      <c r="H837" s="19" t="str">
        <f>IFERROR(__xludf.DUMMYFUNCTION("""COMPUTED_VALUE"""),"SYC")</f>
        <v>SYC</v>
      </c>
      <c r="I837" s="19" t="str">
        <f>IFERROR(__xludf.DUMMYFUNCTION("""COMPUTED_VALUE"""),"Entregada")</f>
        <v>Entregada</v>
      </c>
      <c r="J837" s="20">
        <f>IFERROR(__xludf.DUMMYFUNCTION("""COMPUTED_VALUE"""),44687.0)</f>
        <v>44687</v>
      </c>
      <c r="K837" s="19" t="str">
        <f>IFERROR(__xludf.DUMMYFUNCTION("""COMPUTED_VALUE"""),"Entregada")</f>
        <v>Entregada</v>
      </c>
      <c r="L837" s="20">
        <f>IFERROR(__xludf.DUMMYFUNCTION("""COMPUTED_VALUE"""),44764.0)</f>
        <v>44764</v>
      </c>
      <c r="M837" s="19" t="str">
        <f>IFERROR(__xludf.DUMMYFUNCTION("""COMPUTED_VALUE"""),"PCM")</f>
        <v>PCM</v>
      </c>
      <c r="N837" s="19" t="str">
        <f>IFERROR(__xludf.DUMMYFUNCTION("""COMPUTED_VALUE"""),"PRIORIDAD 1 Q3 2023 OCTUBRE")</f>
        <v>PRIORIDAD 1 Q3 2023 OCTUBRE</v>
      </c>
    </row>
    <row r="838" ht="15.75" customHeight="1">
      <c r="A838" s="19" t="str">
        <f>IFERROR(__xludf.DUMMYFUNCTION("""COMPUTED_VALUE"""),"AB_10627")</f>
        <v>AB_10627</v>
      </c>
      <c r="B838" s="19" t="str">
        <f>IFERROR(__xludf.DUMMYFUNCTION("""COMPUTED_VALUE"""),"AB_10627_D")</f>
        <v>AB_10627_D</v>
      </c>
      <c r="C838" s="19" t="str">
        <f>IFERROR(__xludf.DUMMYFUNCTION("""COMPUTED_VALUE"""),"RM10627")</f>
        <v>RM10627</v>
      </c>
      <c r="D838" s="19" t="str">
        <f>IFERROR(__xludf.DUMMYFUNCTION("""COMPUTED_VALUE"""),"Gran Via RU")</f>
        <v>Gran Via RU</v>
      </c>
      <c r="E838" s="19" t="str">
        <f>IFERROR(__xludf.DUMMYFUNCTION("""COMPUTED_VALUE"""),"SITIO RFI")</f>
        <v>SITIO RFI</v>
      </c>
      <c r="F838" s="19" t="str">
        <f>IFERROR(__xludf.DUMMYFUNCTION("""COMPUTED_VALUE"""),"RFI")</f>
        <v>RFI</v>
      </c>
      <c r="G838" s="19" t="str">
        <f>IFERROR(__xludf.DUMMYFUNCTION("""COMPUTED_VALUE"""),"AZOTEA")</f>
        <v>AZOTEA</v>
      </c>
      <c r="H838" s="19" t="str">
        <f>IFERROR(__xludf.DUMMYFUNCTION("""COMPUTED_VALUE"""),"x")</f>
        <v>x</v>
      </c>
      <c r="I838" s="19" t="str">
        <f>IFERROR(__xludf.DUMMYFUNCTION("""COMPUTED_VALUE"""),"x")</f>
        <v>x</v>
      </c>
      <c r="J838" s="20" t="str">
        <f>IFERROR(__xludf.DUMMYFUNCTION("""COMPUTED_VALUE"""),"x")</f>
        <v>x</v>
      </c>
      <c r="K838" s="19" t="str">
        <f>IFERROR(__xludf.DUMMYFUNCTION("""COMPUTED_VALUE"""),"x")</f>
        <v>x</v>
      </c>
      <c r="L838" s="20" t="str">
        <f>IFERROR(__xludf.DUMMYFUNCTION("""COMPUTED_VALUE"""),"x")</f>
        <v>x</v>
      </c>
      <c r="M838" s="19" t="str">
        <f>IFERROR(__xludf.DUMMYFUNCTION("""COMPUTED_VALUE"""),"PCM")</f>
        <v>PCM</v>
      </c>
      <c r="N838" s="19" t="str">
        <f>IFERROR(__xludf.DUMMYFUNCTION("""COMPUTED_VALUE"""),"PRIORIDAD 1 Q3 2023 OCTUBRE")</f>
        <v>PRIORIDAD 1 Q3 2023 OCTUBRE</v>
      </c>
    </row>
    <row r="839" ht="15.75" customHeight="1">
      <c r="A839" s="19" t="str">
        <f>IFERROR(__xludf.DUMMYFUNCTION("""COMPUTED_VALUE"""),"AB_10650")</f>
        <v>AB_10650</v>
      </c>
      <c r="B839" s="19" t="str">
        <f>IFERROR(__xludf.DUMMYFUNCTION("""COMPUTED_VALUE"""),"AB_10650_F")</f>
        <v>AB_10650_F</v>
      </c>
      <c r="C839" s="19" t="str">
        <f>IFERROR(__xludf.DUMMYFUNCTION("""COMPUTED_VALUE"""),"RM10650")</f>
        <v>RM10650</v>
      </c>
      <c r="D839" s="19" t="str">
        <f>IFERROR(__xludf.DUMMYFUNCTION("""COMPUTED_VALUE"""),"Rojas Magallanes RU")</f>
        <v>Rojas Magallanes RU</v>
      </c>
      <c r="E839" s="19" t="str">
        <f>IFERROR(__xludf.DUMMYFUNCTION("""COMPUTED_VALUE"""),"SITIO RFI")</f>
        <v>SITIO RFI</v>
      </c>
      <c r="F839" s="19" t="str">
        <f>IFERROR(__xludf.DUMMYFUNCTION("""COMPUTED_VALUE"""),"RFI")</f>
        <v>RFI</v>
      </c>
      <c r="G839" s="19" t="str">
        <f>IFERROR(__xludf.DUMMYFUNCTION("""COMPUTED_VALUE"""),"AZOTEA")</f>
        <v>AZOTEA</v>
      </c>
      <c r="H839" s="19" t="str">
        <f>IFERROR(__xludf.DUMMYFUNCTION("""COMPUTED_VALUE"""),"x")</f>
        <v>x</v>
      </c>
      <c r="I839" s="19" t="str">
        <f>IFERROR(__xludf.DUMMYFUNCTION("""COMPUTED_VALUE"""),"x")</f>
        <v>x</v>
      </c>
      <c r="J839" s="20" t="str">
        <f>IFERROR(__xludf.DUMMYFUNCTION("""COMPUTED_VALUE"""),"x")</f>
        <v>x</v>
      </c>
      <c r="K839" s="19" t="str">
        <f>IFERROR(__xludf.DUMMYFUNCTION("""COMPUTED_VALUE"""),"x")</f>
        <v>x</v>
      </c>
      <c r="L839" s="20" t="str">
        <f>IFERROR(__xludf.DUMMYFUNCTION("""COMPUTED_VALUE"""),"x")</f>
        <v>x</v>
      </c>
      <c r="M839" s="19" t="str">
        <f>IFERROR(__xludf.DUMMYFUNCTION("""COMPUTED_VALUE"""),"PCM")</f>
        <v>PCM</v>
      </c>
      <c r="N839" s="19" t="str">
        <f>IFERROR(__xludf.DUMMYFUNCTION("""COMPUTED_VALUE"""),"PRIORIDAD 1 Q3 2023 OCTUBRE")</f>
        <v>PRIORIDAD 1 Q3 2023 OCTUBRE</v>
      </c>
    </row>
    <row r="840" ht="15.75" customHeight="1">
      <c r="A840" s="19" t="str">
        <f>IFERROR(__xludf.DUMMYFUNCTION("""COMPUTED_VALUE"""),"AB_10662")</f>
        <v>AB_10662</v>
      </c>
      <c r="B840" s="19" t="str">
        <f>IFERROR(__xludf.DUMMYFUNCTION("""COMPUTED_VALUE"""),"AB_10662_A")</f>
        <v>AB_10662_A</v>
      </c>
      <c r="C840" s="19" t="str">
        <f>IFERROR(__xludf.DUMMYFUNCTION("""COMPUTED_VALUE"""),"RM10662")</f>
        <v>RM10662</v>
      </c>
      <c r="D840" s="19" t="str">
        <f>IFERROR(__xludf.DUMMYFUNCTION("""COMPUTED_VALUE"""),"El Peñon Oriente NF RU")</f>
        <v>El Peñon Oriente NF RU</v>
      </c>
      <c r="E840" s="19" t="str">
        <f>IFERROR(__xludf.DUMMYFUNCTION("""COMPUTED_VALUE"""),"SITIO PENDIENTE")</f>
        <v>SITIO PENDIENTE</v>
      </c>
      <c r="F840" s="19"/>
      <c r="G840" s="19" t="str">
        <f>IFERROR(__xludf.DUMMYFUNCTION("""COMPUTED_VALUE"""),"MP12")</f>
        <v>MP12</v>
      </c>
      <c r="H840" s="19" t="str">
        <f>IFERROR(__xludf.DUMMYFUNCTION("""COMPUTED_VALUE"""),"COMPRAS")</f>
        <v>COMPRAS</v>
      </c>
      <c r="I840" s="19"/>
      <c r="J840" s="19"/>
      <c r="K840" s="19"/>
      <c r="L840" s="19"/>
      <c r="M840" s="19" t="str">
        <f>IFERROR(__xludf.DUMMYFUNCTION("""COMPUTED_VALUE"""),"PCM")</f>
        <v>PCM</v>
      </c>
      <c r="N840" s="19" t="str">
        <f>IFERROR(__xludf.DUMMYFUNCTION("""COMPUTED_VALUE"""),"PRIORIDAD 3 Q1 2024 MARZO")</f>
        <v>PRIORIDAD 3 Q1 2024 MARZO</v>
      </c>
    </row>
    <row r="841" ht="15.75" customHeight="1">
      <c r="A841" s="19" t="str">
        <f>IFERROR(__xludf.DUMMYFUNCTION("""COMPUTED_VALUE"""),"AB_11142")</f>
        <v>AB_11142</v>
      </c>
      <c r="B841" s="19" t="str">
        <f>IFERROR(__xludf.DUMMYFUNCTION("""COMPUTED_VALUE"""),"AB_11142_B")</f>
        <v>AB_11142_B</v>
      </c>
      <c r="C841" s="19" t="str">
        <f>IFERROR(__xludf.DUMMYFUNCTION("""COMPUTED_VALUE"""),"RM11142")</f>
        <v>RM11142</v>
      </c>
      <c r="D841" s="19" t="str">
        <f>IFERROR(__xludf.DUMMYFUNCTION("""COMPUTED_VALUE"""),"Parque Antonio Rabat 5G")</f>
        <v>Parque Antonio Rabat 5G</v>
      </c>
      <c r="E841" s="19" t="str">
        <f>IFERROR(__xludf.DUMMYFUNCTION("""COMPUTED_VALUE"""),"SITIO PENDIENTE")</f>
        <v>SITIO PENDIENTE</v>
      </c>
      <c r="F841" s="19"/>
      <c r="G841" s="19" t="str">
        <f>IFERROR(__xludf.DUMMYFUNCTION("""COMPUTED_VALUE"""),"x")</f>
        <v>x</v>
      </c>
      <c r="H841" s="19" t="str">
        <f>IFERROR(__xludf.DUMMYFUNCTION("""COMPUTED_VALUE"""),"x")</f>
        <v>x</v>
      </c>
      <c r="I841" s="19" t="str">
        <f>IFERROR(__xludf.DUMMYFUNCTION("""COMPUTED_VALUE"""),"x")</f>
        <v>x</v>
      </c>
      <c r="J841" s="20" t="str">
        <f>IFERROR(__xludf.DUMMYFUNCTION("""COMPUTED_VALUE"""),"x")</f>
        <v>x</v>
      </c>
      <c r="K841" s="19" t="str">
        <f>IFERROR(__xludf.DUMMYFUNCTION("""COMPUTED_VALUE"""),"x")</f>
        <v>x</v>
      </c>
      <c r="L841" s="20" t="str">
        <f>IFERROR(__xludf.DUMMYFUNCTION("""COMPUTED_VALUE"""),"x")</f>
        <v>x</v>
      </c>
      <c r="M841" s="19" t="str">
        <f>IFERROR(__xludf.DUMMYFUNCTION("""COMPUTED_VALUE"""),"PCM")</f>
        <v>PCM</v>
      </c>
      <c r="N841" s="19" t="str">
        <f>IFERROR(__xludf.DUMMYFUNCTION("""COMPUTED_VALUE"""),"PRIORIDAD 3 Q1 2024 MARZO")</f>
        <v>PRIORIDAD 3 Q1 2024 MARZO</v>
      </c>
    </row>
    <row r="842" ht="15.75" customHeight="1">
      <c r="A842" s="19" t="str">
        <f>IFERROR(__xludf.DUMMYFUNCTION("""COMPUTED_VALUE"""),"AB_11310")</f>
        <v>AB_11310</v>
      </c>
      <c r="B842" s="19" t="str">
        <f>IFERROR(__xludf.DUMMYFUNCTION("""COMPUTED_VALUE"""),"AB_11310_B")</f>
        <v>AB_11310_B</v>
      </c>
      <c r="C842" s="19" t="str">
        <f>IFERROR(__xludf.DUMMYFUNCTION("""COMPUTED_VALUE"""),"RM11310")</f>
        <v>RM11310</v>
      </c>
      <c r="D842" s="19" t="str">
        <f>IFERROR(__xludf.DUMMYFUNCTION("""COMPUTED_VALUE"""),"Campus UAI")</f>
        <v>Campus UAI</v>
      </c>
      <c r="E842" s="19" t="str">
        <f>IFERROR(__xludf.DUMMYFUNCTION("""COMPUTED_VALUE"""),"SITIO RFI")</f>
        <v>SITIO RFI</v>
      </c>
      <c r="F842" s="19" t="str">
        <f>IFERROR(__xludf.DUMMYFUNCTION("""COMPUTED_VALUE"""),"RFI")</f>
        <v>RFI</v>
      </c>
      <c r="G842" s="19" t="str">
        <f>IFERROR(__xludf.DUMMYFUNCTION("""COMPUTED_VALUE"""),"MP30")</f>
        <v>MP30</v>
      </c>
      <c r="H842" s="19" t="str">
        <f>IFERROR(__xludf.DUMMYFUNCTION("""COMPUTED_VALUE"""),"MER")</f>
        <v>MER</v>
      </c>
      <c r="I842" s="19" t="str">
        <f>IFERROR(__xludf.DUMMYFUNCTION("""COMPUTED_VALUE"""),"Entregada")</f>
        <v>Entregada</v>
      </c>
      <c r="J842" s="20">
        <f>IFERROR(__xludf.DUMMYFUNCTION("""COMPUTED_VALUE"""),44729.0)</f>
        <v>44729</v>
      </c>
      <c r="K842" s="19" t="str">
        <f>IFERROR(__xludf.DUMMYFUNCTION("""COMPUTED_VALUE"""),"Entregada")</f>
        <v>Entregada</v>
      </c>
      <c r="L842" s="20">
        <f>IFERROR(__xludf.DUMMYFUNCTION("""COMPUTED_VALUE"""),44736.0)</f>
        <v>44736</v>
      </c>
      <c r="M842" s="19" t="str">
        <f>IFERROR(__xludf.DUMMYFUNCTION("""COMPUTED_VALUE"""),"PCM_2")</f>
        <v>PCM_2</v>
      </c>
      <c r="N842" s="19" t="str">
        <f>IFERROR(__xludf.DUMMYFUNCTION("""COMPUTED_VALUE"""),"PRIORIDAD 1 Q3 2023 OCTUBRE")</f>
        <v>PRIORIDAD 1 Q3 2023 OCTUBRE</v>
      </c>
    </row>
    <row r="843" ht="15.75" customHeight="1">
      <c r="A843" s="19" t="str">
        <f>IFERROR(__xludf.DUMMYFUNCTION("""COMPUTED_VALUE"""),"AB_1147")</f>
        <v>AB_1147</v>
      </c>
      <c r="B843" s="19" t="str">
        <f>IFERROR(__xludf.DUMMYFUNCTION("""COMPUTED_VALUE"""),"AB_1147_B")</f>
        <v>AB_1147_B</v>
      </c>
      <c r="C843" s="19" t="str">
        <f>IFERROR(__xludf.DUMMYFUNCTION("""COMPUTED_VALUE"""),"RM1147")</f>
        <v>RM1147</v>
      </c>
      <c r="D843" s="19" t="str">
        <f>IFERROR(__xludf.DUMMYFUNCTION("""COMPUTED_VALUE"""),"El Toyo Cerro")</f>
        <v>El Toyo Cerro</v>
      </c>
      <c r="E843" s="19" t="str">
        <f>IFERROR(__xludf.DUMMYFUNCTION("""COMPUTED_VALUE"""),"SITIO PENDIENTE")</f>
        <v>SITIO PENDIENTE</v>
      </c>
      <c r="F843" s="19"/>
      <c r="G843" s="19" t="str">
        <f>IFERROR(__xludf.DUMMYFUNCTION("""COMPUTED_VALUE"""),"CV36")</f>
        <v>CV36</v>
      </c>
      <c r="H843" s="19" t="str">
        <f>IFERROR(__xludf.DUMMYFUNCTION("""COMPUTED_VALUE"""),"INCOSERV")</f>
        <v>INCOSERV</v>
      </c>
      <c r="I843" s="19" t="str">
        <f>IFERROR(__xludf.DUMMYFUNCTION("""COMPUTED_VALUE"""),"Asignada")</f>
        <v>Asignada</v>
      </c>
      <c r="J843" s="20">
        <f>IFERROR(__xludf.DUMMYFUNCTION("""COMPUTED_VALUE"""),45163.0)</f>
        <v>45163</v>
      </c>
      <c r="K843" s="19" t="str">
        <f>IFERROR(__xludf.DUMMYFUNCTION("""COMPUTED_VALUE"""),"Asignada")</f>
        <v>Asignada</v>
      </c>
      <c r="L843" s="20">
        <f>IFERROR(__xludf.DUMMYFUNCTION("""COMPUTED_VALUE"""),45191.0)</f>
        <v>45191</v>
      </c>
      <c r="M843" s="19" t="str">
        <f>IFERROR(__xludf.DUMMYFUNCTION("""COMPUTED_VALUE"""),"PCM_2")</f>
        <v>PCM_2</v>
      </c>
      <c r="N843" s="19" t="str">
        <f>IFERROR(__xludf.DUMMYFUNCTION("""COMPUTED_VALUE"""),"PRIORIDAD 3 Q1 2024 MARZO")</f>
        <v>PRIORIDAD 3 Q1 2024 MARZO</v>
      </c>
    </row>
    <row r="844" ht="15.75" customHeight="1">
      <c r="A844" s="19" t="str">
        <f>IFERROR(__xludf.DUMMYFUNCTION("""COMPUTED_VALUE"""),"AB_11494")</f>
        <v>AB_11494</v>
      </c>
      <c r="B844" s="19" t="str">
        <f>IFERROR(__xludf.DUMMYFUNCTION("""COMPUTED_VALUE"""),"AB_11494_B")</f>
        <v>AB_11494_B</v>
      </c>
      <c r="C844" s="19" t="str">
        <f>IFERROR(__xludf.DUMMYFUNCTION("""COMPUTED_VALUE"""),"RM11494")</f>
        <v>RM11494</v>
      </c>
      <c r="D844" s="19" t="str">
        <f>IFERROR(__xludf.DUMMYFUNCTION("""COMPUTED_VALUE"""),"Las Encinas Vitacura RU")</f>
        <v>Las Encinas Vitacura RU</v>
      </c>
      <c r="E844" s="19" t="str">
        <f>IFERROR(__xludf.DUMMYFUNCTION("""COMPUTED_VALUE"""),"SITIO PENDIENTE")</f>
        <v>SITIO PENDIENTE</v>
      </c>
      <c r="F844" s="19"/>
      <c r="G844" s="19" t="str">
        <f>IFERROR(__xludf.DUMMYFUNCTION("""COMPUTED_VALUE"""),"x")</f>
        <v>x</v>
      </c>
      <c r="H844" s="19" t="str">
        <f>IFERROR(__xludf.DUMMYFUNCTION("""COMPUTED_VALUE"""),"x")</f>
        <v>x</v>
      </c>
      <c r="I844" s="19" t="str">
        <f>IFERROR(__xludf.DUMMYFUNCTION("""COMPUTED_VALUE"""),"x")</f>
        <v>x</v>
      </c>
      <c r="J844" s="20" t="str">
        <f>IFERROR(__xludf.DUMMYFUNCTION("""COMPUTED_VALUE"""),"x")</f>
        <v>x</v>
      </c>
      <c r="K844" s="19" t="str">
        <f>IFERROR(__xludf.DUMMYFUNCTION("""COMPUTED_VALUE"""),"x")</f>
        <v>x</v>
      </c>
      <c r="L844" s="20" t="str">
        <f>IFERROR(__xludf.DUMMYFUNCTION("""COMPUTED_VALUE"""),"x")</f>
        <v>x</v>
      </c>
      <c r="M844" s="19" t="str">
        <f>IFERROR(__xludf.DUMMYFUNCTION("""COMPUTED_VALUE"""),"PCM_4")</f>
        <v>PCM_4</v>
      </c>
      <c r="N844" s="19" t="str">
        <f>IFERROR(__xludf.DUMMYFUNCTION("""COMPUTED_VALUE"""),"PRIORIDAD 3 Q1 2024 MARZO")</f>
        <v>PRIORIDAD 3 Q1 2024 MARZO</v>
      </c>
    </row>
    <row r="845" ht="15.75" customHeight="1">
      <c r="A845" s="19" t="str">
        <f>IFERROR(__xludf.DUMMYFUNCTION("""COMPUTED_VALUE"""),"AB_9828")</f>
        <v>AB_9828</v>
      </c>
      <c r="B845" s="19" t="str">
        <f>IFERROR(__xludf.DUMMYFUNCTION("""COMPUTED_VALUE"""),"AB_9828_B")</f>
        <v>AB_9828_B</v>
      </c>
      <c r="C845" s="19" t="str">
        <f>IFERROR(__xludf.DUMMYFUNCTION("""COMPUTED_VALUE"""),"RM11640")</f>
        <v>RM11640</v>
      </c>
      <c r="D845" s="19" t="str">
        <f>IFERROR(__xludf.DUMMYFUNCTION("""COMPUTED_VALUE"""),"METRO SANTA ROSA RU")</f>
        <v>METRO SANTA ROSA RU</v>
      </c>
      <c r="E845" s="19" t="str">
        <f>IFERROR(__xludf.DUMMYFUNCTION("""COMPUTED_VALUE"""),"SITIO PENDIENTE")</f>
        <v>SITIO PENDIENTE</v>
      </c>
      <c r="F845" s="19"/>
      <c r="G845" s="19" t="str">
        <f>IFERROR(__xludf.DUMMYFUNCTION("""COMPUTED_VALUE"""),"x")</f>
        <v>x</v>
      </c>
      <c r="H845" s="19" t="str">
        <f>IFERROR(__xludf.DUMMYFUNCTION("""COMPUTED_VALUE"""),"x")</f>
        <v>x</v>
      </c>
      <c r="I845" s="19" t="str">
        <f>IFERROR(__xludf.DUMMYFUNCTION("""COMPUTED_VALUE"""),"x")</f>
        <v>x</v>
      </c>
      <c r="J845" s="20" t="str">
        <f>IFERROR(__xludf.DUMMYFUNCTION("""COMPUTED_VALUE"""),"x")</f>
        <v>x</v>
      </c>
      <c r="K845" s="19" t="str">
        <f>IFERROR(__xludf.DUMMYFUNCTION("""COMPUTED_VALUE"""),"x")</f>
        <v>x</v>
      </c>
      <c r="L845" s="20" t="str">
        <f>IFERROR(__xludf.DUMMYFUNCTION("""COMPUTED_VALUE"""),"x")</f>
        <v>x</v>
      </c>
      <c r="M845" s="19" t="str">
        <f>IFERROR(__xludf.DUMMYFUNCTION("""COMPUTED_VALUE"""),"PCM_4")</f>
        <v>PCM_4</v>
      </c>
      <c r="N845" s="19" t="str">
        <f>IFERROR(__xludf.DUMMYFUNCTION("""COMPUTED_VALUE"""),"PRIORIDAD 3 Q1 2024 MARZO")</f>
        <v>PRIORIDAD 3 Q1 2024 MARZO</v>
      </c>
    </row>
    <row r="846" ht="15.75" customHeight="1">
      <c r="A846" s="19" t="str">
        <f>IFERROR(__xludf.DUMMYFUNCTION("""COMPUTED_VALUE"""),"AB_1356")</f>
        <v>AB_1356</v>
      </c>
      <c r="B846" s="19" t="str">
        <f>IFERROR(__xludf.DUMMYFUNCTION("""COMPUTED_VALUE"""),"AB_1356_A")</f>
        <v>AB_1356_A</v>
      </c>
      <c r="C846" s="19" t="str">
        <f>IFERROR(__xludf.DUMMYFUNCTION("""COMPUTED_VALUE"""),"RM1356")</f>
        <v>RM1356</v>
      </c>
      <c r="D846" s="19" t="str">
        <f>IFERROR(__xludf.DUMMYFUNCTION("""COMPUTED_VALUE"""),"San Gabriel")</f>
        <v>San Gabriel</v>
      </c>
      <c r="E846" s="19" t="str">
        <f>IFERROR(__xludf.DUMMYFUNCTION("""COMPUTED_VALUE"""),"SITIO RFI")</f>
        <v>SITIO RFI</v>
      </c>
      <c r="F846" s="19" t="str">
        <f>IFERROR(__xludf.DUMMYFUNCTION("""COMPUTED_VALUE"""),"RFI")</f>
        <v>RFI</v>
      </c>
      <c r="G846" s="19" t="str">
        <f>IFERROR(__xludf.DUMMYFUNCTION("""COMPUTED_VALUE"""),"AS30")</f>
        <v>AS30</v>
      </c>
      <c r="H846" s="19" t="str">
        <f>IFERROR(__xludf.DUMMYFUNCTION("""COMPUTED_VALUE"""),"METALING")</f>
        <v>METALING</v>
      </c>
      <c r="I846" s="19" t="str">
        <f>IFERROR(__xludf.DUMMYFUNCTION("""COMPUTED_VALUE"""),"Entregada")</f>
        <v>Entregada</v>
      </c>
      <c r="J846" s="20">
        <f>IFERROR(__xludf.DUMMYFUNCTION("""COMPUTED_VALUE"""),44736.0)</f>
        <v>44736</v>
      </c>
      <c r="K846" s="19" t="str">
        <f>IFERROR(__xludf.DUMMYFUNCTION("""COMPUTED_VALUE"""),"Entregada")</f>
        <v>Entregada</v>
      </c>
      <c r="L846" s="20">
        <f>IFERROR(__xludf.DUMMYFUNCTION("""COMPUTED_VALUE"""),44778.0)</f>
        <v>44778</v>
      </c>
      <c r="M846" s="19" t="str">
        <f>IFERROR(__xludf.DUMMYFUNCTION("""COMPUTED_VALUE"""),"PCM")</f>
        <v>PCM</v>
      </c>
      <c r="N846" s="19" t="str">
        <f>IFERROR(__xludf.DUMMYFUNCTION("""COMPUTED_VALUE"""),"PRIORIDAD 1 Q3 2023 OCTUBRE")</f>
        <v>PRIORIDAD 1 Q3 2023 OCTUBRE</v>
      </c>
    </row>
    <row r="847" ht="15.75" customHeight="1">
      <c r="A847" s="19" t="str">
        <f>IFERROR(__xludf.DUMMYFUNCTION("""COMPUTED_VALUE"""),"AB_1384")</f>
        <v>AB_1384</v>
      </c>
      <c r="B847" s="19" t="str">
        <f>IFERROR(__xludf.DUMMYFUNCTION("""COMPUTED_VALUE"""),"AB_1384_A")</f>
        <v>AB_1384_A</v>
      </c>
      <c r="C847" s="19" t="str">
        <f>IFERROR(__xludf.DUMMYFUNCTION("""COMPUTED_VALUE"""),"RM1384")</f>
        <v>RM1384</v>
      </c>
      <c r="D847" s="19" t="str">
        <f>IFERROR(__xludf.DUMMYFUNCTION("""COMPUTED_VALUE"""),"El Yeso")</f>
        <v>El Yeso</v>
      </c>
      <c r="E847" s="19" t="str">
        <f>IFERROR(__xludf.DUMMYFUNCTION("""COMPUTED_VALUE"""),"SITIO RFI")</f>
        <v>SITIO RFI</v>
      </c>
      <c r="F847" s="19" t="str">
        <f>IFERROR(__xludf.DUMMYFUNCTION("""COMPUTED_VALUE"""),"RFI")</f>
        <v>RFI</v>
      </c>
      <c r="G847" s="19" t="str">
        <f>IFERROR(__xludf.DUMMYFUNCTION("""COMPUTED_VALUE"""),"CV48")</f>
        <v>CV48</v>
      </c>
      <c r="H847" s="19" t="str">
        <f>IFERROR(__xludf.DUMMYFUNCTION("""COMPUTED_VALUE"""),"MER")</f>
        <v>MER</v>
      </c>
      <c r="I847" s="19" t="str">
        <f>IFERROR(__xludf.DUMMYFUNCTION("""COMPUTED_VALUE"""),"Entregada")</f>
        <v>Entregada</v>
      </c>
      <c r="J847" s="20">
        <f>IFERROR(__xludf.DUMMYFUNCTION("""COMPUTED_VALUE"""),44586.0)</f>
        <v>44586</v>
      </c>
      <c r="K847" s="19" t="str">
        <f>IFERROR(__xludf.DUMMYFUNCTION("""COMPUTED_VALUE"""),"Entregada")</f>
        <v>Entregada</v>
      </c>
      <c r="L847" s="20">
        <f>IFERROR(__xludf.DUMMYFUNCTION("""COMPUTED_VALUE"""),44517.0)</f>
        <v>44517</v>
      </c>
      <c r="M847" s="19" t="str">
        <f>IFERROR(__xludf.DUMMYFUNCTION("""COMPUTED_VALUE"""),"PCM")</f>
        <v>PCM</v>
      </c>
      <c r="N847" s="19" t="str">
        <f>IFERROR(__xludf.DUMMYFUNCTION("""COMPUTED_VALUE"""),"PRIORIDAD 1 Q3 2023 OCTUBRE")</f>
        <v>PRIORIDAD 1 Q3 2023 OCTUBRE</v>
      </c>
    </row>
    <row r="848" ht="15.75" customHeight="1">
      <c r="A848" s="19" t="str">
        <f>IFERROR(__xludf.DUMMYFUNCTION("""COMPUTED_VALUE"""),"AB_1735")</f>
        <v>AB_1735</v>
      </c>
      <c r="B848" s="19" t="str">
        <f>IFERROR(__xludf.DUMMYFUNCTION("""COMPUTED_VALUE"""),"AB_1735_A")</f>
        <v>AB_1735_A</v>
      </c>
      <c r="C848" s="19" t="str">
        <f>IFERROR(__xludf.DUMMYFUNCTION("""COMPUTED_VALUE"""),"RM1735")</f>
        <v>RM1735</v>
      </c>
      <c r="D848" s="19" t="str">
        <f>IFERROR(__xludf.DUMMYFUNCTION("""COMPUTED_VALUE"""),"Cerro San Carlos de Apoquindo")</f>
        <v>Cerro San Carlos de Apoquindo</v>
      </c>
      <c r="E848" s="19" t="str">
        <f>IFERROR(__xludf.DUMMYFUNCTION("""COMPUTED_VALUE"""),"SITIO PENDIENTE")</f>
        <v>SITIO PENDIENTE</v>
      </c>
      <c r="F848" s="19"/>
      <c r="G848" s="19" t="str">
        <f>IFERROR(__xludf.DUMMYFUNCTION("""COMPUTED_VALUE"""),"CV42")</f>
        <v>CV42</v>
      </c>
      <c r="H848" s="19" t="str">
        <f>IFERROR(__xludf.DUMMYFUNCTION("""COMPUTED_VALUE"""),"COMPRAS")</f>
        <v>COMPRAS</v>
      </c>
      <c r="I848" s="19"/>
      <c r="J848" s="19"/>
      <c r="K848" s="19"/>
      <c r="L848" s="19"/>
      <c r="M848" s="19" t="str">
        <f>IFERROR(__xludf.DUMMYFUNCTION("""COMPUTED_VALUE"""),"PCM")</f>
        <v>PCM</v>
      </c>
      <c r="N848" s="19" t="str">
        <f>IFERROR(__xludf.DUMMYFUNCTION("""COMPUTED_VALUE"""),"PRIORIDAD 3 Q1 2024 MARZO")</f>
        <v>PRIORIDAD 3 Q1 2024 MARZO</v>
      </c>
    </row>
    <row r="849" ht="15.75" customHeight="1">
      <c r="A849" s="19" t="str">
        <f>IFERROR(__xludf.DUMMYFUNCTION("""COMPUTED_VALUE"""),"AB_1737")</f>
        <v>AB_1737</v>
      </c>
      <c r="B849" s="19" t="str">
        <f>IFERROR(__xludf.DUMMYFUNCTION("""COMPUTED_VALUE"""),"AB_1737_B")</f>
        <v>AB_1737_B</v>
      </c>
      <c r="C849" s="19" t="str">
        <f>IFERROR(__xludf.DUMMYFUNCTION("""COMPUTED_VALUE"""),"RM1737")</f>
        <v>RM1737</v>
      </c>
      <c r="D849" s="19" t="str">
        <f>IFERROR(__xludf.DUMMYFUNCTION("""COMPUTED_VALUE"""),"Mirador Cuesta Barriga")</f>
        <v>Mirador Cuesta Barriga</v>
      </c>
      <c r="E849" s="19" t="str">
        <f>IFERROR(__xludf.DUMMYFUNCTION("""COMPUTED_VALUE"""),"SITIO RFI")</f>
        <v>SITIO RFI</v>
      </c>
      <c r="F849" s="19" t="str">
        <f>IFERROR(__xludf.DUMMYFUNCTION("""COMPUTED_VALUE"""),"RFI")</f>
        <v>RFI</v>
      </c>
      <c r="G849" s="19" t="str">
        <f>IFERROR(__xludf.DUMMYFUNCTION("""COMPUTED_VALUE"""),"AS36")</f>
        <v>AS36</v>
      </c>
      <c r="H849" s="19" t="str">
        <f>IFERROR(__xludf.DUMMYFUNCTION("""COMPUTED_VALUE"""),"MER")</f>
        <v>MER</v>
      </c>
      <c r="I849" s="19" t="str">
        <f>IFERROR(__xludf.DUMMYFUNCTION("""COMPUTED_VALUE"""),"Entregada")</f>
        <v>Entregada</v>
      </c>
      <c r="J849" s="20">
        <f>IFERROR(__xludf.DUMMYFUNCTION("""COMPUTED_VALUE"""),44644.0)</f>
        <v>44644</v>
      </c>
      <c r="K849" s="19" t="str">
        <f>IFERROR(__xludf.DUMMYFUNCTION("""COMPUTED_VALUE"""),"Entregada")</f>
        <v>Entregada</v>
      </c>
      <c r="L849" s="20">
        <f>IFERROR(__xludf.DUMMYFUNCTION("""COMPUTED_VALUE"""),44658.0)</f>
        <v>44658</v>
      </c>
      <c r="M849" s="19" t="str">
        <f>IFERROR(__xludf.DUMMYFUNCTION("""COMPUTED_VALUE"""),"PCM")</f>
        <v>PCM</v>
      </c>
      <c r="N849" s="19" t="str">
        <f>IFERROR(__xludf.DUMMYFUNCTION("""COMPUTED_VALUE"""),"PRIORIDAD 1 Q3 2023 OCTUBRE")</f>
        <v>PRIORIDAD 1 Q3 2023 OCTUBRE</v>
      </c>
    </row>
    <row r="850" ht="15.75" customHeight="1">
      <c r="A850" s="19" t="str">
        <f>IFERROR(__xludf.DUMMYFUNCTION("""COMPUTED_VALUE"""),"AB_2194")</f>
        <v>AB_2194</v>
      </c>
      <c r="B850" s="19" t="str">
        <f>IFERROR(__xludf.DUMMYFUNCTION("""COMPUTED_VALUE"""),"AB_2194_G")</f>
        <v>AB_2194_G</v>
      </c>
      <c r="C850" s="19" t="str">
        <f>IFERROR(__xludf.DUMMYFUNCTION("""COMPUTED_VALUE"""),"RM2194")</f>
        <v>RM2194</v>
      </c>
      <c r="D850" s="19" t="str">
        <f>IFERROR(__xludf.DUMMYFUNCTION("""COMPUTED_VALUE"""),"Plaza de la Constitucion")</f>
        <v>Plaza de la Constitucion</v>
      </c>
      <c r="E850" s="19" t="str">
        <f>IFERROR(__xludf.DUMMYFUNCTION("""COMPUTED_VALUE"""),"SITIO RFI")</f>
        <v>SITIO RFI</v>
      </c>
      <c r="F850" s="19" t="str">
        <f>IFERROR(__xludf.DUMMYFUNCTION("""COMPUTED_VALUE"""),"RFI")</f>
        <v>RFI</v>
      </c>
      <c r="G850" s="19" t="str">
        <f>IFERROR(__xludf.DUMMYFUNCTION("""COMPUTED_VALUE"""),"AZOTEA")</f>
        <v>AZOTEA</v>
      </c>
      <c r="H850" s="19" t="str">
        <f>IFERROR(__xludf.DUMMYFUNCTION("""COMPUTED_VALUE"""),"x")</f>
        <v>x</v>
      </c>
      <c r="I850" s="19" t="str">
        <f>IFERROR(__xludf.DUMMYFUNCTION("""COMPUTED_VALUE"""),"x")</f>
        <v>x</v>
      </c>
      <c r="J850" s="20" t="str">
        <f>IFERROR(__xludf.DUMMYFUNCTION("""COMPUTED_VALUE"""),"x")</f>
        <v>x</v>
      </c>
      <c r="K850" s="19" t="str">
        <f>IFERROR(__xludf.DUMMYFUNCTION("""COMPUTED_VALUE"""),"x")</f>
        <v>x</v>
      </c>
      <c r="L850" s="20" t="str">
        <f>IFERROR(__xludf.DUMMYFUNCTION("""COMPUTED_VALUE"""),"x")</f>
        <v>x</v>
      </c>
      <c r="M850" s="19" t="str">
        <f>IFERROR(__xludf.DUMMYFUNCTION("""COMPUTED_VALUE"""),"PCM")</f>
        <v>PCM</v>
      </c>
      <c r="N850" s="19" t="str">
        <f>IFERROR(__xludf.DUMMYFUNCTION("""COMPUTED_VALUE"""),"PRIORIDAD 1 Q3 2023 OCTUBRE")</f>
        <v>PRIORIDAD 1 Q3 2023 OCTUBRE</v>
      </c>
    </row>
    <row r="851" ht="15.75" customHeight="1">
      <c r="A851" s="19" t="str">
        <f>IFERROR(__xludf.DUMMYFUNCTION("""COMPUTED_VALUE"""),"AB_2224")</f>
        <v>AB_2224</v>
      </c>
      <c r="B851" s="19" t="str">
        <f>IFERROR(__xludf.DUMMYFUNCTION("""COMPUTED_VALUE"""),"AB_2224_F")</f>
        <v>AB_2224_F</v>
      </c>
      <c r="C851" s="19" t="str">
        <f>IFERROR(__xludf.DUMMYFUNCTION("""COMPUTED_VALUE"""),"RM2224")</f>
        <v>RM2224</v>
      </c>
      <c r="D851" s="19" t="str">
        <f>IFERROR(__xludf.DUMMYFUNCTION("""COMPUTED_VALUE"""),"Las Arañas San Pedro")</f>
        <v>Las Arañas San Pedro</v>
      </c>
      <c r="E851" s="19" t="str">
        <f>IFERROR(__xludf.DUMMYFUNCTION("""COMPUTED_VALUE"""),"SITIO RFI")</f>
        <v>SITIO RFI</v>
      </c>
      <c r="F851" s="19" t="str">
        <f>IFERROR(__xludf.DUMMYFUNCTION("""COMPUTED_VALUE"""),"RFI")</f>
        <v>RFI</v>
      </c>
      <c r="G851" s="19" t="str">
        <f>IFERROR(__xludf.DUMMYFUNCTION("""COMPUTED_VALUE"""),"AS54")</f>
        <v>AS54</v>
      </c>
      <c r="H851" s="19" t="str">
        <f>IFERROR(__xludf.DUMMYFUNCTION("""COMPUTED_VALUE"""),"AJ")</f>
        <v>AJ</v>
      </c>
      <c r="I851" s="19" t="str">
        <f>IFERROR(__xludf.DUMMYFUNCTION("""COMPUTED_VALUE"""),"Entregada")</f>
        <v>Entregada</v>
      </c>
      <c r="J851" s="20">
        <f>IFERROR(__xludf.DUMMYFUNCTION("""COMPUTED_VALUE"""),44636.0)</f>
        <v>44636</v>
      </c>
      <c r="K851" s="19" t="str">
        <f>IFERROR(__xludf.DUMMYFUNCTION("""COMPUTED_VALUE"""),"Entregada")</f>
        <v>Entregada</v>
      </c>
      <c r="L851" s="20">
        <f>IFERROR(__xludf.DUMMYFUNCTION("""COMPUTED_VALUE"""),44680.0)</f>
        <v>44680</v>
      </c>
      <c r="M851" s="19" t="str">
        <f>IFERROR(__xludf.DUMMYFUNCTION("""COMPUTED_VALUE"""),"PCM")</f>
        <v>PCM</v>
      </c>
      <c r="N851" s="19" t="str">
        <f>IFERROR(__xludf.DUMMYFUNCTION("""COMPUTED_VALUE"""),"PRIORIDAD 1 Q3 2023 OCTUBRE")</f>
        <v>PRIORIDAD 1 Q3 2023 OCTUBRE</v>
      </c>
    </row>
    <row r="852" ht="15.75" customHeight="1">
      <c r="A852" s="19" t="str">
        <f>IFERROR(__xludf.DUMMYFUNCTION("""COMPUTED_VALUE"""),"AB_2251")</f>
        <v>AB_2251</v>
      </c>
      <c r="B852" s="19" t="str">
        <f>IFERROR(__xludf.DUMMYFUNCTION("""COMPUTED_VALUE"""),"AB_2251_N")</f>
        <v>AB_2251_N</v>
      </c>
      <c r="C852" s="19" t="str">
        <f>IFERROR(__xludf.DUMMYFUNCTION("""COMPUTED_VALUE"""),"RM2251")</f>
        <v>RM2251</v>
      </c>
      <c r="D852" s="19" t="str">
        <f>IFERROR(__xludf.DUMMYFUNCTION("""COMPUTED_VALUE"""),"Manuel de Salas")</f>
        <v>Manuel de Salas</v>
      </c>
      <c r="E852" s="19" t="str">
        <f>IFERROR(__xludf.DUMMYFUNCTION("""COMPUTED_VALUE"""),"DETENIDO SAC")</f>
        <v>DETENIDO SAC</v>
      </c>
      <c r="F852" s="19"/>
      <c r="G852" s="19"/>
      <c r="H852" s="19" t="str">
        <f>IFERROR(__xludf.DUMMYFUNCTION("""COMPUTED_VALUE"""),"x")</f>
        <v>x</v>
      </c>
      <c r="I852" s="19" t="str">
        <f>IFERROR(__xludf.DUMMYFUNCTION("""COMPUTED_VALUE"""),"x")</f>
        <v>x</v>
      </c>
      <c r="J852" s="20" t="str">
        <f>IFERROR(__xludf.DUMMYFUNCTION("""COMPUTED_VALUE"""),"x")</f>
        <v>x</v>
      </c>
      <c r="K852" s="19" t="str">
        <f>IFERROR(__xludf.DUMMYFUNCTION("""COMPUTED_VALUE"""),"x")</f>
        <v>x</v>
      </c>
      <c r="L852" s="20" t="str">
        <f>IFERROR(__xludf.DUMMYFUNCTION("""COMPUTED_VALUE"""),"x")</f>
        <v>x</v>
      </c>
      <c r="M852" s="19" t="str">
        <f>IFERROR(__xludf.DUMMYFUNCTION("""COMPUTED_VALUE"""),"PCM")</f>
        <v>PCM</v>
      </c>
      <c r="N852" s="19" t="str">
        <f>IFERROR(__xludf.DUMMYFUNCTION("""COMPUTED_VALUE"""),"PRIORIDAD 3 Q1 2024 MARZO")</f>
        <v>PRIORIDAD 3 Q1 2024 MARZO</v>
      </c>
    </row>
    <row r="853" ht="15.75" customHeight="1">
      <c r="A853" s="19" t="str">
        <f>IFERROR(__xludf.DUMMYFUNCTION("""COMPUTED_VALUE"""),"AB_3056")</f>
        <v>AB_3056</v>
      </c>
      <c r="B853" s="19" t="str">
        <f>IFERROR(__xludf.DUMMYFUNCTION("""COMPUTED_VALUE"""),"AB_3056_C")</f>
        <v>AB_3056_C</v>
      </c>
      <c r="C853" s="19" t="str">
        <f>IFERROR(__xludf.DUMMYFUNCTION("""COMPUTED_VALUE"""),"RM3056")</f>
        <v>RM3056</v>
      </c>
      <c r="D853" s="19" t="str">
        <f>IFERROR(__xludf.DUMMYFUNCTION("""COMPUTED_VALUE"""),"Termas Internacional")</f>
        <v>Termas Internacional</v>
      </c>
      <c r="E853" s="19" t="str">
        <f>IFERROR(__xludf.DUMMYFUNCTION("""COMPUTED_VALUE"""),"SITIO RFI")</f>
        <v>SITIO RFI</v>
      </c>
      <c r="F853" s="19" t="str">
        <f>IFERROR(__xludf.DUMMYFUNCTION("""COMPUTED_VALUE"""),"RFI")</f>
        <v>RFI</v>
      </c>
      <c r="G853" s="19" t="str">
        <f>IFERROR(__xludf.DUMMYFUNCTION("""COMPUTED_VALUE"""),"AS42")</f>
        <v>AS42</v>
      </c>
      <c r="H853" s="19" t="str">
        <f>IFERROR(__xludf.DUMMYFUNCTION("""COMPUTED_VALUE"""),"JTI")</f>
        <v>JTI</v>
      </c>
      <c r="I853" s="19" t="str">
        <f>IFERROR(__xludf.DUMMYFUNCTION("""COMPUTED_VALUE"""),"Entregada")</f>
        <v>Entregada</v>
      </c>
      <c r="J853" s="20">
        <f>IFERROR(__xludf.DUMMYFUNCTION("""COMPUTED_VALUE"""),44610.0)</f>
        <v>44610</v>
      </c>
      <c r="K853" s="19" t="str">
        <f>IFERROR(__xludf.DUMMYFUNCTION("""COMPUTED_VALUE"""),"Entregada")</f>
        <v>Entregada</v>
      </c>
      <c r="L853" s="20">
        <f>IFERROR(__xludf.DUMMYFUNCTION("""COMPUTED_VALUE"""),44608.0)</f>
        <v>44608</v>
      </c>
      <c r="M853" s="19" t="str">
        <f>IFERROR(__xludf.DUMMYFUNCTION("""COMPUTED_VALUE"""),"PP")</f>
        <v>PP</v>
      </c>
      <c r="N853" s="19" t="str">
        <f>IFERROR(__xludf.DUMMYFUNCTION("""COMPUTED_VALUE"""),"PRIORIDAD 1 Q3 2023 OCTUBRE")</f>
        <v>PRIORIDAD 1 Q3 2023 OCTUBRE</v>
      </c>
    </row>
    <row r="854" ht="15.75" customHeight="1">
      <c r="A854" s="19" t="str">
        <f>IFERROR(__xludf.DUMMYFUNCTION("""COMPUTED_VALUE"""),"AB_3356")</f>
        <v>AB_3356</v>
      </c>
      <c r="B854" s="19" t="str">
        <f>IFERROR(__xludf.DUMMYFUNCTION("""COMPUTED_VALUE"""),"AB_3356_A")</f>
        <v>AB_3356_A</v>
      </c>
      <c r="C854" s="19" t="str">
        <f>IFERROR(__xludf.DUMMYFUNCTION("""COMPUTED_VALUE"""),"RM3356")</f>
        <v>RM3356</v>
      </c>
      <c r="D854" s="19" t="str">
        <f>IFERROR(__xludf.DUMMYFUNCTION("""COMPUTED_VALUE"""),"Ruta Maitenes")</f>
        <v>Ruta Maitenes</v>
      </c>
      <c r="E854" s="19" t="str">
        <f>IFERROR(__xludf.DUMMYFUNCTION("""COMPUTED_VALUE"""),"SITIO PENDIENTE")</f>
        <v>SITIO PENDIENTE</v>
      </c>
      <c r="F854" s="19"/>
      <c r="G854" s="19" t="str">
        <f>IFERROR(__xludf.DUMMYFUNCTION("""COMPUTED_VALUE"""),"AS42")</f>
        <v>AS42</v>
      </c>
      <c r="H854" s="19" t="str">
        <f>IFERROR(__xludf.DUMMYFUNCTION("""COMPUTED_VALUE"""),"AJ")</f>
        <v>AJ</v>
      </c>
      <c r="I854" s="19" t="str">
        <f>IFERROR(__xludf.DUMMYFUNCTION("""COMPUTED_VALUE"""),"Terminada")</f>
        <v>Terminada</v>
      </c>
      <c r="J854" s="20">
        <f>IFERROR(__xludf.DUMMYFUNCTION("""COMPUTED_VALUE"""),44664.0)</f>
        <v>44664</v>
      </c>
      <c r="K854" s="19" t="str">
        <f>IFERROR(__xludf.DUMMYFUNCTION("""COMPUTED_VALUE"""),"Terminada")</f>
        <v>Terminada</v>
      </c>
      <c r="L854" s="20">
        <f>IFERROR(__xludf.DUMMYFUNCTION("""COMPUTED_VALUE"""),44722.0)</f>
        <v>44722</v>
      </c>
      <c r="M854" s="19" t="str">
        <f>IFERROR(__xludf.DUMMYFUNCTION("""COMPUTED_VALUE"""),"PCM")</f>
        <v>PCM</v>
      </c>
      <c r="N854" s="19" t="str">
        <f>IFERROR(__xludf.DUMMYFUNCTION("""COMPUTED_VALUE"""),"PRIORIDAD 2 Q4 2023 DICIEMBRE")</f>
        <v>PRIORIDAD 2 Q4 2023 DICIEMBRE</v>
      </c>
    </row>
    <row r="855" ht="15.75" customHeight="1">
      <c r="A855" s="19" t="str">
        <f>IFERROR(__xludf.DUMMYFUNCTION("""COMPUTED_VALUE"""),"AB_3604")</f>
        <v>AB_3604</v>
      </c>
      <c r="B855" s="19" t="str">
        <f>IFERROR(__xludf.DUMMYFUNCTION("""COMPUTED_VALUE"""),"AB_3604_R")</f>
        <v>AB_3604_R</v>
      </c>
      <c r="C855" s="19" t="str">
        <f>IFERROR(__xludf.DUMMYFUNCTION("""COMPUTED_VALUE"""),"RM3604")</f>
        <v>RM3604</v>
      </c>
      <c r="D855" s="19" t="str">
        <f>IFERROR(__xludf.DUMMYFUNCTION("""COMPUTED_VALUE"""),"Camino El Toro")</f>
        <v>Camino El Toro</v>
      </c>
      <c r="E855" s="19" t="str">
        <f>IFERROR(__xludf.DUMMYFUNCTION("""COMPUTED_VALUE"""),"SITIO RFI")</f>
        <v>SITIO RFI</v>
      </c>
      <c r="F855" s="19" t="str">
        <f>IFERROR(__xludf.DUMMYFUNCTION("""COMPUTED_VALUE"""),"RFI")</f>
        <v>RFI</v>
      </c>
      <c r="G855" s="19" t="str">
        <f>IFERROR(__xludf.DUMMYFUNCTION("""COMPUTED_VALUE"""),"CV48")</f>
        <v>CV48</v>
      </c>
      <c r="H855" s="19" t="str">
        <f>IFERROR(__xludf.DUMMYFUNCTION("""COMPUTED_VALUE"""),"ADM")</f>
        <v>ADM</v>
      </c>
      <c r="I855" s="19" t="str">
        <f>IFERROR(__xludf.DUMMYFUNCTION("""COMPUTED_VALUE"""),"Entregada")</f>
        <v>Entregada</v>
      </c>
      <c r="J855" s="20">
        <f>IFERROR(__xludf.DUMMYFUNCTION("""COMPUTED_VALUE"""),44736.0)</f>
        <v>44736</v>
      </c>
      <c r="K855" s="19" t="str">
        <f>IFERROR(__xludf.DUMMYFUNCTION("""COMPUTED_VALUE"""),"Entregada")</f>
        <v>Entregada</v>
      </c>
      <c r="L855" s="20">
        <f>IFERROR(__xludf.DUMMYFUNCTION("""COMPUTED_VALUE"""),44799.0)</f>
        <v>44799</v>
      </c>
      <c r="M855" s="19" t="str">
        <f>IFERROR(__xludf.DUMMYFUNCTION("""COMPUTED_VALUE"""),"PCM")</f>
        <v>PCM</v>
      </c>
      <c r="N855" s="19" t="str">
        <f>IFERROR(__xludf.DUMMYFUNCTION("""COMPUTED_VALUE"""),"PRIORIDAD 1 Q3 2023 OCTUBRE")</f>
        <v>PRIORIDAD 1 Q3 2023 OCTUBRE</v>
      </c>
    </row>
    <row r="856" ht="15.75" customHeight="1">
      <c r="A856" s="19" t="str">
        <f>IFERROR(__xludf.DUMMYFUNCTION("""COMPUTED_VALUE"""),"AB_3752")</f>
        <v>AB_3752</v>
      </c>
      <c r="B856" s="19" t="str">
        <f>IFERROR(__xludf.DUMMYFUNCTION("""COMPUTED_VALUE"""),"AB_3752_K")</f>
        <v>AB_3752_K</v>
      </c>
      <c r="C856" s="19" t="str">
        <f>IFERROR(__xludf.DUMMYFUNCTION("""COMPUTED_VALUE"""),"RM3752")</f>
        <v>RM3752</v>
      </c>
      <c r="D856" s="19" t="str">
        <f>IFERROR(__xludf.DUMMYFUNCTION("""COMPUTED_VALUE"""),"Santa Teresa de Tango")</f>
        <v>Santa Teresa de Tango</v>
      </c>
      <c r="E856" s="19" t="str">
        <f>IFERROR(__xludf.DUMMYFUNCTION("""COMPUTED_VALUE"""),"SITIO RFI")</f>
        <v>SITIO RFI</v>
      </c>
      <c r="F856" s="19" t="str">
        <f>IFERROR(__xludf.DUMMYFUNCTION("""COMPUTED_VALUE"""),"RFI")</f>
        <v>RFI</v>
      </c>
      <c r="G856" s="19" t="str">
        <f>IFERROR(__xludf.DUMMYFUNCTION("""COMPUTED_VALUE"""),"CV42")</f>
        <v>CV42</v>
      </c>
      <c r="H856" s="19" t="str">
        <f>IFERROR(__xludf.DUMMYFUNCTION("""COMPUTED_VALUE"""),"DEPROMET")</f>
        <v>DEPROMET</v>
      </c>
      <c r="I856" s="19" t="str">
        <f>IFERROR(__xludf.DUMMYFUNCTION("""COMPUTED_VALUE"""),"Entregada")</f>
        <v>Entregada</v>
      </c>
      <c r="J856" s="20">
        <f>IFERROR(__xludf.DUMMYFUNCTION("""COMPUTED_VALUE"""),44764.0)</f>
        <v>44764</v>
      </c>
      <c r="K856" s="19" t="str">
        <f>IFERROR(__xludf.DUMMYFUNCTION("""COMPUTED_VALUE"""),"Entregada")</f>
        <v>Entregada</v>
      </c>
      <c r="L856" s="20">
        <f>IFERROR(__xludf.DUMMYFUNCTION("""COMPUTED_VALUE"""),44833.0)</f>
        <v>44833</v>
      </c>
      <c r="M856" s="19" t="str">
        <f>IFERROR(__xludf.DUMMYFUNCTION("""COMPUTED_VALUE"""),"PCM")</f>
        <v>PCM</v>
      </c>
      <c r="N856" s="19" t="str">
        <f>IFERROR(__xludf.DUMMYFUNCTION("""COMPUTED_VALUE"""),"PRIORIDAD 1 Q3 2023 OCTUBRE")</f>
        <v>PRIORIDAD 1 Q3 2023 OCTUBRE</v>
      </c>
    </row>
    <row r="857" ht="15.75" customHeight="1">
      <c r="A857" s="19" t="str">
        <f>IFERROR(__xludf.DUMMYFUNCTION("""COMPUTED_VALUE"""),"AB_3806")</f>
        <v>AB_3806</v>
      </c>
      <c r="B857" s="19" t="str">
        <f>IFERROR(__xludf.DUMMYFUNCTION("""COMPUTED_VALUE"""),"AB_3806_B")</f>
        <v>AB_3806_B</v>
      </c>
      <c r="C857" s="19" t="str">
        <f>IFERROR(__xludf.DUMMYFUNCTION("""COMPUTED_VALUE"""),"RM3806")</f>
        <v>RM3806</v>
      </c>
      <c r="D857" s="19" t="str">
        <f>IFERROR(__xludf.DUMMYFUNCTION("""COMPUTED_VALUE"""),"Subida Alfalfal")</f>
        <v>Subida Alfalfal</v>
      </c>
      <c r="E857" s="19" t="str">
        <f>IFERROR(__xludf.DUMMYFUNCTION("""COMPUTED_VALUE"""),"SITIO PENDIENTE")</f>
        <v>SITIO PENDIENTE</v>
      </c>
      <c r="F857" s="19"/>
      <c r="G857" s="19" t="str">
        <f>IFERROR(__xludf.DUMMYFUNCTION("""COMPUTED_VALUE"""),"MP30")</f>
        <v>MP30</v>
      </c>
      <c r="H857" s="19" t="str">
        <f>IFERROR(__xludf.DUMMYFUNCTION("""COMPUTED_VALUE"""),"MER")</f>
        <v>MER</v>
      </c>
      <c r="I857" s="19" t="str">
        <f>IFERROR(__xludf.DUMMYFUNCTION("""COMPUTED_VALUE"""),"Terminada")</f>
        <v>Terminada</v>
      </c>
      <c r="J857" s="20">
        <f>IFERROR(__xludf.DUMMYFUNCTION("""COMPUTED_VALUE"""),44697.0)</f>
        <v>44697</v>
      </c>
      <c r="K857" s="19" t="str">
        <f>IFERROR(__xludf.DUMMYFUNCTION("""COMPUTED_VALUE"""),"Por pintar ")</f>
        <v>Por pintar </v>
      </c>
      <c r="L857" s="20">
        <f>IFERROR(__xludf.DUMMYFUNCTION("""COMPUTED_VALUE"""),44770.0)</f>
        <v>44770</v>
      </c>
      <c r="M857" s="19" t="str">
        <f>IFERROR(__xludf.DUMMYFUNCTION("""COMPUTED_VALUE"""),"PCM")</f>
        <v>PCM</v>
      </c>
      <c r="N857" s="19" t="str">
        <f>IFERROR(__xludf.DUMMYFUNCTION("""COMPUTED_VALUE"""),"PRIORIDAD 2 Q4 2023 DICIEMBRE")</f>
        <v>PRIORIDAD 2 Q4 2023 DICIEMBRE</v>
      </c>
    </row>
    <row r="858" ht="15.75" customHeight="1">
      <c r="A858" s="19" t="str">
        <f>IFERROR(__xludf.DUMMYFUNCTION("""COMPUTED_VALUE"""),"AB_3807")</f>
        <v>AB_3807</v>
      </c>
      <c r="B858" s="19" t="str">
        <f>IFERROR(__xludf.DUMMYFUNCTION("""COMPUTED_VALUE"""),"AB_3807_D")</f>
        <v>AB_3807_D</v>
      </c>
      <c r="C858" s="19" t="str">
        <f>IFERROR(__xludf.DUMMYFUNCTION("""COMPUTED_VALUE"""),"RM3807")</f>
        <v>RM3807</v>
      </c>
      <c r="D858" s="19" t="str">
        <f>IFERROR(__xludf.DUMMYFUNCTION("""COMPUTED_VALUE"""),"Cuesta a Maitenes")</f>
        <v>Cuesta a Maitenes</v>
      </c>
      <c r="E858" s="19" t="str">
        <f>IFERROR(__xludf.DUMMYFUNCTION("""COMPUTED_VALUE"""),"SITIO PENDIENTE")</f>
        <v>SITIO PENDIENTE</v>
      </c>
      <c r="F858" s="19"/>
      <c r="G858" s="19" t="str">
        <f>IFERROR(__xludf.DUMMYFUNCTION("""COMPUTED_VALUE"""),"AS60")</f>
        <v>AS60</v>
      </c>
      <c r="H858" s="19" t="str">
        <f>IFERROR(__xludf.DUMMYFUNCTION("""COMPUTED_VALUE"""),"COMPRAS")</f>
        <v>COMPRAS</v>
      </c>
      <c r="I858" s="19"/>
      <c r="J858" s="20"/>
      <c r="K858" s="19"/>
      <c r="L858" s="20"/>
      <c r="M858" s="19" t="str">
        <f>IFERROR(__xludf.DUMMYFUNCTION("""COMPUTED_VALUE"""),"PCM")</f>
        <v>PCM</v>
      </c>
      <c r="N858" s="19" t="str">
        <f>IFERROR(__xludf.DUMMYFUNCTION("""COMPUTED_VALUE"""),"PRIORIDAD 2 Q4 2023 DICIEMBRE")</f>
        <v>PRIORIDAD 2 Q4 2023 DICIEMBRE</v>
      </c>
    </row>
    <row r="859" ht="15.75" customHeight="1">
      <c r="A859" s="19" t="str">
        <f>IFERROR(__xludf.DUMMYFUNCTION("""COMPUTED_VALUE"""),"AB_4363")</f>
        <v>AB_4363</v>
      </c>
      <c r="B859" s="19" t="str">
        <f>IFERROR(__xludf.DUMMYFUNCTION("""COMPUTED_VALUE"""),"AB_4363_B")</f>
        <v>AB_4363_B</v>
      </c>
      <c r="C859" s="19" t="str">
        <f>IFERROR(__xludf.DUMMYFUNCTION("""COMPUTED_VALUE"""),"RM4363")</f>
        <v>RM4363</v>
      </c>
      <c r="D859" s="19" t="str">
        <f>IFERROR(__xludf.DUMMYFUNCTION("""COMPUTED_VALUE"""),"Juan Loica Melipilla")</f>
        <v>Juan Loica Melipilla</v>
      </c>
      <c r="E859" s="19" t="str">
        <f>IFERROR(__xludf.DUMMYFUNCTION("""COMPUTED_VALUE"""),"SITIO RFI")</f>
        <v>SITIO RFI</v>
      </c>
      <c r="F859" s="19" t="str">
        <f>IFERROR(__xludf.DUMMYFUNCTION("""COMPUTED_VALUE"""),"RFI")</f>
        <v>RFI</v>
      </c>
      <c r="G859" s="19" t="str">
        <f>IFERROR(__xludf.DUMMYFUNCTION("""COMPUTED_VALUE"""),"MP42")</f>
        <v>MP42</v>
      </c>
      <c r="H859" s="19" t="str">
        <f>IFERROR(__xludf.DUMMYFUNCTION("""COMPUTED_VALUE"""),"MT")</f>
        <v>MT</v>
      </c>
      <c r="I859" s="19" t="str">
        <f>IFERROR(__xludf.DUMMYFUNCTION("""COMPUTED_VALUE"""),"Entregada")</f>
        <v>Entregada</v>
      </c>
      <c r="J859" s="20">
        <f>IFERROR(__xludf.DUMMYFUNCTION("""COMPUTED_VALUE"""),44609.0)</f>
        <v>44609</v>
      </c>
      <c r="K859" s="19" t="str">
        <f>IFERROR(__xludf.DUMMYFUNCTION("""COMPUTED_VALUE"""),"Entregada")</f>
        <v>Entregada</v>
      </c>
      <c r="L859" s="20">
        <f>IFERROR(__xludf.DUMMYFUNCTION("""COMPUTED_VALUE"""),44596.0)</f>
        <v>44596</v>
      </c>
      <c r="M859" s="19" t="str">
        <f>IFERROR(__xludf.DUMMYFUNCTION("""COMPUTED_VALUE"""),"PCM")</f>
        <v>PCM</v>
      </c>
      <c r="N859" s="19" t="str">
        <f>IFERROR(__xludf.DUMMYFUNCTION("""COMPUTED_VALUE"""),"PRIORIDAD 1 Q3 2023 OCTUBRE")</f>
        <v>PRIORIDAD 1 Q3 2023 OCTUBRE</v>
      </c>
    </row>
    <row r="860" ht="15.75" customHeight="1">
      <c r="A860" s="19" t="str">
        <f>IFERROR(__xludf.DUMMYFUNCTION("""COMPUTED_VALUE"""),"AB_4758")</f>
        <v>AB_4758</v>
      </c>
      <c r="B860" s="19" t="str">
        <f>IFERROR(__xludf.DUMMYFUNCTION("""COMPUTED_VALUE"""),"AB_4758_B")</f>
        <v>AB_4758_B</v>
      </c>
      <c r="C860" s="19" t="str">
        <f>IFERROR(__xludf.DUMMYFUNCTION("""COMPUTED_VALUE"""),"RM4758")</f>
        <v>RM4758</v>
      </c>
      <c r="D860" s="19" t="str">
        <f>IFERROR(__xludf.DUMMYFUNCTION("""COMPUTED_VALUE"""),"Cuesta Lo Prado RU")</f>
        <v>Cuesta Lo Prado RU</v>
      </c>
      <c r="E860" s="19" t="str">
        <f>IFERROR(__xludf.DUMMYFUNCTION("""COMPUTED_VALUE"""),"SITIO RFI")</f>
        <v>SITIO RFI</v>
      </c>
      <c r="F860" s="19" t="str">
        <f>IFERROR(__xludf.DUMMYFUNCTION("""COMPUTED_VALUE"""),"RFI")</f>
        <v>RFI</v>
      </c>
      <c r="G860" s="19" t="str">
        <f>IFERROR(__xludf.DUMMYFUNCTION("""COMPUTED_VALUE"""),"AS48")</f>
        <v>AS48</v>
      </c>
      <c r="H860" s="19" t="str">
        <f>IFERROR(__xludf.DUMMYFUNCTION("""COMPUTED_VALUE"""),"ADM")</f>
        <v>ADM</v>
      </c>
      <c r="I860" s="19" t="str">
        <f>IFERROR(__xludf.DUMMYFUNCTION("""COMPUTED_VALUE"""),"Entregada")</f>
        <v>Entregada</v>
      </c>
      <c r="J860" s="20">
        <f>IFERROR(__xludf.DUMMYFUNCTION("""COMPUTED_VALUE"""),44750.0)</f>
        <v>44750</v>
      </c>
      <c r="K860" s="19" t="str">
        <f>IFERROR(__xludf.DUMMYFUNCTION("""COMPUTED_VALUE"""),"Entregada")</f>
        <v>Entregada</v>
      </c>
      <c r="L860" s="20">
        <f>IFERROR(__xludf.DUMMYFUNCTION("""COMPUTED_VALUE"""),44785.0)</f>
        <v>44785</v>
      </c>
      <c r="M860" s="19" t="str">
        <f>IFERROR(__xludf.DUMMYFUNCTION("""COMPUTED_VALUE"""),"PCM")</f>
        <v>PCM</v>
      </c>
      <c r="N860" s="19" t="str">
        <f>IFERROR(__xludf.DUMMYFUNCTION("""COMPUTED_VALUE"""),"PRIORIDAD 1 Q3 2023 OCTUBRE")</f>
        <v>PRIORIDAD 1 Q3 2023 OCTUBRE</v>
      </c>
    </row>
    <row r="861" ht="15.75" customHeight="1">
      <c r="A861" s="19" t="str">
        <f>IFERROR(__xludf.DUMMYFUNCTION("""COMPUTED_VALUE"""),"AB_4977")</f>
        <v>AB_4977</v>
      </c>
      <c r="B861" s="19" t="str">
        <f>IFERROR(__xludf.DUMMYFUNCTION("""COMPUTED_VALUE"""),"AB_4977_A")</f>
        <v>AB_4977_A</v>
      </c>
      <c r="C861" s="19" t="str">
        <f>IFERROR(__xludf.DUMMYFUNCTION("""COMPUTED_VALUE"""),"RM4977")</f>
        <v>RM4977</v>
      </c>
      <c r="D861" s="19" t="str">
        <f>IFERROR(__xludf.DUMMYFUNCTION("""COMPUTED_VALUE"""),"Mall Los Dominicos Outdoor")</f>
        <v>Mall Los Dominicos Outdoor</v>
      </c>
      <c r="E861" s="19" t="str">
        <f>IFERROR(__xludf.DUMMYFUNCTION("""COMPUTED_VALUE"""),"SITIO RFI")</f>
        <v>SITIO RFI</v>
      </c>
      <c r="F861" s="19" t="str">
        <f>IFERROR(__xludf.DUMMYFUNCTION("""COMPUTED_VALUE"""),"RFI")</f>
        <v>RFI</v>
      </c>
      <c r="G861" s="19" t="str">
        <f>IFERROR(__xludf.DUMMYFUNCTION("""COMPUTED_VALUE"""),"x")</f>
        <v>x</v>
      </c>
      <c r="H861" s="19" t="str">
        <f>IFERROR(__xludf.DUMMYFUNCTION("""COMPUTED_VALUE"""),"x")</f>
        <v>x</v>
      </c>
      <c r="I861" s="19" t="str">
        <f>IFERROR(__xludf.DUMMYFUNCTION("""COMPUTED_VALUE"""),"x")</f>
        <v>x</v>
      </c>
      <c r="J861" s="20" t="str">
        <f>IFERROR(__xludf.DUMMYFUNCTION("""COMPUTED_VALUE"""),"x")</f>
        <v>x</v>
      </c>
      <c r="K861" s="19" t="str">
        <f>IFERROR(__xludf.DUMMYFUNCTION("""COMPUTED_VALUE"""),"x")</f>
        <v>x</v>
      </c>
      <c r="L861" s="20" t="str">
        <f>IFERROR(__xludf.DUMMYFUNCTION("""COMPUTED_VALUE"""),"x")</f>
        <v>x</v>
      </c>
      <c r="M861" s="19" t="str">
        <f>IFERROR(__xludf.DUMMYFUNCTION("""COMPUTED_VALUE"""),"PCM")</f>
        <v>PCM</v>
      </c>
      <c r="N861" s="19" t="str">
        <f>IFERROR(__xludf.DUMMYFUNCTION("""COMPUTED_VALUE"""),"PRIORIDAD 1 Q3 2023 OCTUBRE")</f>
        <v>PRIORIDAD 1 Q3 2023 OCTUBRE</v>
      </c>
    </row>
    <row r="862" ht="15.75" customHeight="1">
      <c r="A862" s="19" t="str">
        <f>IFERROR(__xludf.DUMMYFUNCTION("""COMPUTED_VALUE"""),"AB_5134")</f>
        <v>AB_5134</v>
      </c>
      <c r="B862" s="19" t="str">
        <f>IFERROR(__xludf.DUMMYFUNCTION("""COMPUTED_VALUE"""),"AB_5134_J")</f>
        <v>AB_5134_J</v>
      </c>
      <c r="C862" s="19" t="str">
        <f>IFERROR(__xludf.DUMMYFUNCTION("""COMPUTED_VALUE"""),"RM5134")</f>
        <v>RM5134</v>
      </c>
      <c r="D862" s="19" t="str">
        <f>IFERROR(__xludf.DUMMYFUNCTION("""COMPUTED_VALUE"""),"El Tanguito")</f>
        <v>El Tanguito</v>
      </c>
      <c r="E862" s="19" t="str">
        <f>IFERROR(__xludf.DUMMYFUNCTION("""COMPUTED_VALUE"""),"SITIO RFI")</f>
        <v>SITIO RFI</v>
      </c>
      <c r="F862" s="19" t="str">
        <f>IFERROR(__xludf.DUMMYFUNCTION("""COMPUTED_VALUE"""),"RFI")</f>
        <v>RFI</v>
      </c>
      <c r="G862" s="19" t="str">
        <f>IFERROR(__xludf.DUMMYFUNCTION("""COMPUTED_VALUE"""),"AS30")</f>
        <v>AS30</v>
      </c>
      <c r="H862" s="19" t="str">
        <f>IFERROR(__xludf.DUMMYFUNCTION("""COMPUTED_VALUE"""),"METALING")</f>
        <v>METALING</v>
      </c>
      <c r="I862" s="19" t="str">
        <f>IFERROR(__xludf.DUMMYFUNCTION("""COMPUTED_VALUE"""),"Entregada")</f>
        <v>Entregada</v>
      </c>
      <c r="J862" s="20">
        <f>IFERROR(__xludf.DUMMYFUNCTION("""COMPUTED_VALUE"""),44736.0)</f>
        <v>44736</v>
      </c>
      <c r="K862" s="19" t="str">
        <f>IFERROR(__xludf.DUMMYFUNCTION("""COMPUTED_VALUE"""),"Entregada")</f>
        <v>Entregada</v>
      </c>
      <c r="L862" s="20">
        <f>IFERROR(__xludf.DUMMYFUNCTION("""COMPUTED_VALUE"""),44743.0)</f>
        <v>44743</v>
      </c>
      <c r="M862" s="19" t="str">
        <f>IFERROR(__xludf.DUMMYFUNCTION("""COMPUTED_VALUE"""),"PCM")</f>
        <v>PCM</v>
      </c>
      <c r="N862" s="19" t="str">
        <f>IFERROR(__xludf.DUMMYFUNCTION("""COMPUTED_VALUE"""),"PRIORIDAD 1 Q3 2023 OCTUBRE")</f>
        <v>PRIORIDAD 1 Q3 2023 OCTUBRE</v>
      </c>
    </row>
    <row r="863" ht="15.75" customHeight="1">
      <c r="A863" s="19" t="str">
        <f>IFERROR(__xludf.DUMMYFUNCTION("""COMPUTED_VALUE"""),"AB_5586")</f>
        <v>AB_5586</v>
      </c>
      <c r="B863" s="19" t="str">
        <f>IFERROR(__xludf.DUMMYFUNCTION("""COMPUTED_VALUE"""),"AB_5586_E")</f>
        <v>AB_5586_E</v>
      </c>
      <c r="C863" s="19" t="str">
        <f>IFERROR(__xludf.DUMMYFUNCTION("""COMPUTED_VALUE"""),"RM5586")</f>
        <v>RM5586</v>
      </c>
      <c r="D863" s="19" t="str">
        <f>IFERROR(__xludf.DUMMYFUNCTION("""COMPUTED_VALUE"""),"Villa Gabriela Mistral")</f>
        <v>Villa Gabriela Mistral</v>
      </c>
      <c r="E863" s="19" t="str">
        <f>IFERROR(__xludf.DUMMYFUNCTION("""COMPUTED_VALUE"""),"SITIO RFI")</f>
        <v>SITIO RFI</v>
      </c>
      <c r="F863" s="19" t="str">
        <f>IFERROR(__xludf.DUMMYFUNCTION("""COMPUTED_VALUE"""),"RFI")</f>
        <v>RFI</v>
      </c>
      <c r="G863" s="19" t="str">
        <f>IFERROR(__xludf.DUMMYFUNCTION("""COMPUTED_VALUE"""),"AS60")</f>
        <v>AS60</v>
      </c>
      <c r="H863" s="19" t="str">
        <f>IFERROR(__xludf.DUMMYFUNCTION("""COMPUTED_VALUE"""),"MT")</f>
        <v>MT</v>
      </c>
      <c r="I863" s="19" t="str">
        <f>IFERROR(__xludf.DUMMYFUNCTION("""COMPUTED_VALUE"""),"Entregada")</f>
        <v>Entregada</v>
      </c>
      <c r="J863" s="20">
        <f>IFERROR(__xludf.DUMMYFUNCTION("""COMPUTED_VALUE"""),44901.0)</f>
        <v>44901</v>
      </c>
      <c r="K863" s="19" t="str">
        <f>IFERROR(__xludf.DUMMYFUNCTION("""COMPUTED_VALUE"""),"Entregada")</f>
        <v>Entregada</v>
      </c>
      <c r="L863" s="20">
        <f>IFERROR(__xludf.DUMMYFUNCTION("""COMPUTED_VALUE"""),44901.0)</f>
        <v>44901</v>
      </c>
      <c r="M863" s="19" t="str">
        <f>IFERROR(__xludf.DUMMYFUNCTION("""COMPUTED_VALUE"""),"LLOO")</f>
        <v>LLOO</v>
      </c>
      <c r="N863" s="19" t="str">
        <f>IFERROR(__xludf.DUMMYFUNCTION("""COMPUTED_VALUE"""),"PRIORIDAD 1 Q3 2023 OCTUBRE")</f>
        <v>PRIORIDAD 1 Q3 2023 OCTUBRE</v>
      </c>
    </row>
    <row r="864" ht="15.75" customHeight="1">
      <c r="A864" s="19" t="str">
        <f>IFERROR(__xludf.DUMMYFUNCTION("""COMPUTED_VALUE"""),"AB_5588")</f>
        <v>AB_5588</v>
      </c>
      <c r="B864" s="19" t="str">
        <f>IFERROR(__xludf.DUMMYFUNCTION("""COMPUTED_VALUE"""),"AB_5588_C")</f>
        <v>AB_5588_C</v>
      </c>
      <c r="C864" s="19" t="str">
        <f>IFERROR(__xludf.DUMMYFUNCTION("""COMPUTED_VALUE"""),"RM5588")</f>
        <v>RM5588</v>
      </c>
      <c r="D864" s="19" t="str">
        <f>IFERROR(__xludf.DUMMYFUNCTION("""COMPUTED_VALUE"""),"Vega del Agua La Florida")</f>
        <v>Vega del Agua La Florida</v>
      </c>
      <c r="E864" s="19" t="str">
        <f>IFERROR(__xludf.DUMMYFUNCTION("""COMPUTED_VALUE"""),"SITIO PENDIENTE")</f>
        <v>SITIO PENDIENTE</v>
      </c>
      <c r="F864" s="19"/>
      <c r="G864" s="19" t="str">
        <f>IFERROR(__xludf.DUMMYFUNCTION("""COMPUTED_VALUE"""),"x")</f>
        <v>x</v>
      </c>
      <c r="H864" s="19" t="str">
        <f>IFERROR(__xludf.DUMMYFUNCTION("""COMPUTED_VALUE"""),"x")</f>
        <v>x</v>
      </c>
      <c r="I864" s="19" t="str">
        <f>IFERROR(__xludf.DUMMYFUNCTION("""COMPUTED_VALUE"""),"x")</f>
        <v>x</v>
      </c>
      <c r="J864" s="20" t="str">
        <f>IFERROR(__xludf.DUMMYFUNCTION("""COMPUTED_VALUE"""),"x")</f>
        <v>x</v>
      </c>
      <c r="K864" s="19" t="str">
        <f>IFERROR(__xludf.DUMMYFUNCTION("""COMPUTED_VALUE"""),"x")</f>
        <v>x</v>
      </c>
      <c r="L864" s="20" t="str">
        <f>IFERROR(__xludf.DUMMYFUNCTION("""COMPUTED_VALUE"""),"x")</f>
        <v>x</v>
      </c>
      <c r="M864" s="19" t="str">
        <f>IFERROR(__xludf.DUMMYFUNCTION("""COMPUTED_VALUE"""),"PCM")</f>
        <v>PCM</v>
      </c>
      <c r="N864" s="19" t="str">
        <f>IFERROR(__xludf.DUMMYFUNCTION("""COMPUTED_VALUE"""),"PRIORIDAD 3 Q1 2024 MARZO")</f>
        <v>PRIORIDAD 3 Q1 2024 MARZO</v>
      </c>
    </row>
    <row r="865" ht="15.75" customHeight="1">
      <c r="A865" s="19" t="str">
        <f>IFERROR(__xludf.DUMMYFUNCTION("""COMPUTED_VALUE"""),"AB_7024")</f>
        <v>AB_7024</v>
      </c>
      <c r="B865" s="19" t="str">
        <f>IFERROR(__xludf.DUMMYFUNCTION("""COMPUTED_VALUE"""),"AB_7024_E")</f>
        <v>AB_7024_E</v>
      </c>
      <c r="C865" s="19" t="str">
        <f>IFERROR(__xludf.DUMMYFUNCTION("""COMPUTED_VALUE"""),"RM7024")</f>
        <v>RM7024</v>
      </c>
      <c r="D865" s="19" t="str">
        <f>IFERROR(__xludf.DUMMYFUNCTION("""COMPUTED_VALUE"""),"Lonquen Norte RU")</f>
        <v>Lonquen Norte RU</v>
      </c>
      <c r="E865" s="19" t="str">
        <f>IFERROR(__xludf.DUMMYFUNCTION("""COMPUTED_VALUE"""),"SITIO RFI")</f>
        <v>SITIO RFI</v>
      </c>
      <c r="F865" s="19" t="str">
        <f>IFERROR(__xludf.DUMMYFUNCTION("""COMPUTED_VALUE"""),"RFI")</f>
        <v>RFI</v>
      </c>
      <c r="G865" s="19" t="str">
        <f>IFERROR(__xludf.DUMMYFUNCTION("""COMPUTED_VALUE"""),"AS48")</f>
        <v>AS48</v>
      </c>
      <c r="H865" s="19" t="str">
        <f>IFERROR(__xludf.DUMMYFUNCTION("""COMPUTED_VALUE"""),"MER")</f>
        <v>MER</v>
      </c>
      <c r="I865" s="19" t="str">
        <f>IFERROR(__xludf.DUMMYFUNCTION("""COMPUTED_VALUE"""),"Entregada")</f>
        <v>Entregada</v>
      </c>
      <c r="J865" s="20">
        <f>IFERROR(__xludf.DUMMYFUNCTION("""COMPUTED_VALUE"""),44687.0)</f>
        <v>44687</v>
      </c>
      <c r="K865" s="19" t="str">
        <f>IFERROR(__xludf.DUMMYFUNCTION("""COMPUTED_VALUE"""),"Entregada")</f>
        <v>Entregada</v>
      </c>
      <c r="L865" s="20">
        <f>IFERROR(__xludf.DUMMYFUNCTION("""COMPUTED_VALUE"""),44742.0)</f>
        <v>44742</v>
      </c>
      <c r="M865" s="19" t="str">
        <f>IFERROR(__xludf.DUMMYFUNCTION("""COMPUTED_VALUE"""),"PCM")</f>
        <v>PCM</v>
      </c>
      <c r="N865" s="19" t="str">
        <f>IFERROR(__xludf.DUMMYFUNCTION("""COMPUTED_VALUE"""),"PRIORIDAD 1 Q3 2023 OCTUBRE")</f>
        <v>PRIORIDAD 1 Q3 2023 OCTUBRE</v>
      </c>
    </row>
    <row r="866" ht="15.75" customHeight="1">
      <c r="A866" s="19" t="str">
        <f>IFERROR(__xludf.DUMMYFUNCTION("""COMPUTED_VALUE"""),"AB_7714")</f>
        <v>AB_7714</v>
      </c>
      <c r="B866" s="19" t="str">
        <f>IFERROR(__xludf.DUMMYFUNCTION("""COMPUTED_VALUE"""),"AB_7714_D")</f>
        <v>AB_7714_D</v>
      </c>
      <c r="C866" s="19" t="str">
        <f>IFERROR(__xludf.DUMMYFUNCTION("""COMPUTED_VALUE"""),"RM7714")</f>
        <v>RM7714</v>
      </c>
      <c r="D866" s="19" t="str">
        <f>IFERROR(__xludf.DUMMYFUNCTION("""COMPUTED_VALUE"""),"Las Juntas de Alhue")</f>
        <v>Las Juntas de Alhue</v>
      </c>
      <c r="E866" s="19" t="str">
        <f>IFERROR(__xludf.DUMMYFUNCTION("""COMPUTED_VALUE"""),"SITIO RFI")</f>
        <v>SITIO RFI</v>
      </c>
      <c r="F866" s="19" t="str">
        <f>IFERROR(__xludf.DUMMYFUNCTION("""COMPUTED_VALUE"""),"RFI")</f>
        <v>RFI</v>
      </c>
      <c r="G866" s="19" t="str">
        <f>IFERROR(__xludf.DUMMYFUNCTION("""COMPUTED_VALUE"""),"AS42")</f>
        <v>AS42</v>
      </c>
      <c r="H866" s="19" t="str">
        <f>IFERROR(__xludf.DUMMYFUNCTION("""COMPUTED_VALUE"""),"MER")</f>
        <v>MER</v>
      </c>
      <c r="I866" s="19" t="str">
        <f>IFERROR(__xludf.DUMMYFUNCTION("""COMPUTED_VALUE"""),"Entregada")</f>
        <v>Entregada</v>
      </c>
      <c r="J866" s="20">
        <f>IFERROR(__xludf.DUMMYFUNCTION("""COMPUTED_VALUE"""),44586.0)</f>
        <v>44586</v>
      </c>
      <c r="K866" s="19" t="str">
        <f>IFERROR(__xludf.DUMMYFUNCTION("""COMPUTED_VALUE"""),"Entregada")</f>
        <v>Entregada</v>
      </c>
      <c r="L866" s="20">
        <f>IFERROR(__xludf.DUMMYFUNCTION("""COMPUTED_VALUE"""),44582.0)</f>
        <v>44582</v>
      </c>
      <c r="M866" s="19" t="str">
        <f>IFERROR(__xludf.DUMMYFUNCTION("""COMPUTED_VALUE"""),"PCM")</f>
        <v>PCM</v>
      </c>
      <c r="N866" s="19" t="str">
        <f>IFERROR(__xludf.DUMMYFUNCTION("""COMPUTED_VALUE"""),"PRIORIDAD 1 Q3 2023 OCTUBRE")</f>
        <v>PRIORIDAD 1 Q3 2023 OCTUBRE</v>
      </c>
    </row>
    <row r="867" ht="15.75" customHeight="1">
      <c r="A867" s="19" t="str">
        <f>IFERROR(__xludf.DUMMYFUNCTION("""COMPUTED_VALUE"""),"AB_7715")</f>
        <v>AB_7715</v>
      </c>
      <c r="B867" s="19" t="str">
        <f>IFERROR(__xludf.DUMMYFUNCTION("""COMPUTED_VALUE"""),"AB_7715_E")</f>
        <v>AB_7715_E</v>
      </c>
      <c r="C867" s="19" t="str">
        <f>IFERROR(__xludf.DUMMYFUNCTION("""COMPUTED_VALUE"""),"RM7715")</f>
        <v>RM7715</v>
      </c>
      <c r="D867" s="19" t="str">
        <f>IFERROR(__xludf.DUMMYFUNCTION("""COMPUTED_VALUE"""),"Alhue Poniente")</f>
        <v>Alhue Poniente</v>
      </c>
      <c r="E867" s="19" t="str">
        <f>IFERROR(__xludf.DUMMYFUNCTION("""COMPUTED_VALUE"""),"SITIO RFI")</f>
        <v>SITIO RFI</v>
      </c>
      <c r="F867" s="19" t="str">
        <f>IFERROR(__xludf.DUMMYFUNCTION("""COMPUTED_VALUE"""),"RFI")</f>
        <v>RFI</v>
      </c>
      <c r="G867" s="19" t="str">
        <f>IFERROR(__xludf.DUMMYFUNCTION("""COMPUTED_VALUE"""),"MP36")</f>
        <v>MP36</v>
      </c>
      <c r="H867" s="19" t="str">
        <f>IFERROR(__xludf.DUMMYFUNCTION("""COMPUTED_VALUE"""),"JTI")</f>
        <v>JTI</v>
      </c>
      <c r="I867" s="19" t="str">
        <f>IFERROR(__xludf.DUMMYFUNCTION("""COMPUTED_VALUE"""),"Entregada")</f>
        <v>Entregada</v>
      </c>
      <c r="J867" s="20">
        <f>IFERROR(__xludf.DUMMYFUNCTION("""COMPUTED_VALUE"""),44481.0)</f>
        <v>44481</v>
      </c>
      <c r="K867" s="19" t="str">
        <f>IFERROR(__xludf.DUMMYFUNCTION("""COMPUTED_VALUE"""),"Entregada")</f>
        <v>Entregada</v>
      </c>
      <c r="L867" s="20">
        <f>IFERROR(__xludf.DUMMYFUNCTION("""COMPUTED_VALUE"""),44481.0)</f>
        <v>44481</v>
      </c>
      <c r="M867" s="19" t="str">
        <f>IFERROR(__xludf.DUMMYFUNCTION("""COMPUTED_VALUE"""),"PCM")</f>
        <v>PCM</v>
      </c>
      <c r="N867" s="19" t="str">
        <f>IFERROR(__xludf.DUMMYFUNCTION("""COMPUTED_VALUE"""),"PRIORIDAD 1 Q3 2023 OCTUBRE")</f>
        <v>PRIORIDAD 1 Q3 2023 OCTUBRE</v>
      </c>
    </row>
    <row r="868" ht="15.75" customHeight="1">
      <c r="A868" s="19" t="str">
        <f>IFERROR(__xludf.DUMMYFUNCTION("""COMPUTED_VALUE"""),"AB_7716")</f>
        <v>AB_7716</v>
      </c>
      <c r="B868" s="19" t="str">
        <f>IFERROR(__xludf.DUMMYFUNCTION("""COMPUTED_VALUE"""),"AB_7716_I")</f>
        <v>AB_7716_I</v>
      </c>
      <c r="C868" s="19" t="str">
        <f>IFERROR(__xludf.DUMMYFUNCTION("""COMPUTED_VALUE"""),"RM7716")</f>
        <v>RM7716</v>
      </c>
      <c r="D868" s="19" t="str">
        <f>IFERROR(__xludf.DUMMYFUNCTION("""COMPUTED_VALUE"""),"El Yali")</f>
        <v>El Yali</v>
      </c>
      <c r="E868" s="19" t="str">
        <f>IFERROR(__xludf.DUMMYFUNCTION("""COMPUTED_VALUE"""),"SITIO RFI")</f>
        <v>SITIO RFI</v>
      </c>
      <c r="F868" s="19" t="str">
        <f>IFERROR(__xludf.DUMMYFUNCTION("""COMPUTED_VALUE"""),"RFI")</f>
        <v>RFI</v>
      </c>
      <c r="G868" s="19" t="str">
        <f>IFERROR(__xludf.DUMMYFUNCTION("""COMPUTED_VALUE"""),"AS48")</f>
        <v>AS48</v>
      </c>
      <c r="H868" s="19" t="str">
        <f>IFERROR(__xludf.DUMMYFUNCTION("""COMPUTED_VALUE"""),"MT")</f>
        <v>MT</v>
      </c>
      <c r="I868" s="19" t="str">
        <f>IFERROR(__xludf.DUMMYFUNCTION("""COMPUTED_VALUE"""),"Entregada")</f>
        <v>Entregada</v>
      </c>
      <c r="J868" s="20">
        <f>IFERROR(__xludf.DUMMYFUNCTION("""COMPUTED_VALUE"""),44671.0)</f>
        <v>44671</v>
      </c>
      <c r="K868" s="19" t="str">
        <f>IFERROR(__xludf.DUMMYFUNCTION("""COMPUTED_VALUE"""),"Entregada")</f>
        <v>Entregada</v>
      </c>
      <c r="L868" s="20">
        <f>IFERROR(__xludf.DUMMYFUNCTION("""COMPUTED_VALUE"""),44771.0)</f>
        <v>44771</v>
      </c>
      <c r="M868" s="19" t="str">
        <f>IFERROR(__xludf.DUMMYFUNCTION("""COMPUTED_VALUE"""),"PCM")</f>
        <v>PCM</v>
      </c>
      <c r="N868" s="19" t="str">
        <f>IFERROR(__xludf.DUMMYFUNCTION("""COMPUTED_VALUE"""),"PRIORIDAD 1 Q3 2023 OCTUBRE")</f>
        <v>PRIORIDAD 1 Q3 2023 OCTUBRE</v>
      </c>
    </row>
    <row r="869" ht="15.75" customHeight="1">
      <c r="A869" s="19" t="str">
        <f>IFERROR(__xludf.DUMMYFUNCTION("""COMPUTED_VALUE"""),"AB_7718")</f>
        <v>AB_7718</v>
      </c>
      <c r="B869" s="19" t="str">
        <f>IFERROR(__xludf.DUMMYFUNCTION("""COMPUTED_VALUE"""),"AB_7718_F")</f>
        <v>AB_7718_F</v>
      </c>
      <c r="C869" s="19" t="str">
        <f>IFERROR(__xludf.DUMMYFUNCTION("""COMPUTED_VALUE"""),"RM7718")</f>
        <v>RM7718</v>
      </c>
      <c r="D869" s="19" t="str">
        <f>IFERROR(__xludf.DUMMYFUNCTION("""COMPUTED_VALUE"""),"El Paico Sur")</f>
        <v>El Paico Sur</v>
      </c>
      <c r="E869" s="19" t="str">
        <f>IFERROR(__xludf.DUMMYFUNCTION("""COMPUTED_VALUE"""),"SITIO RFI")</f>
        <v>SITIO RFI</v>
      </c>
      <c r="F869" s="19" t="str">
        <f>IFERROR(__xludf.DUMMYFUNCTION("""COMPUTED_VALUE"""),"RFI")</f>
        <v>RFI</v>
      </c>
      <c r="G869" s="19" t="str">
        <f>IFERROR(__xludf.DUMMYFUNCTION("""COMPUTED_VALUE"""),"AS54")</f>
        <v>AS54</v>
      </c>
      <c r="H869" s="19" t="str">
        <f>IFERROR(__xludf.DUMMYFUNCTION("""COMPUTED_VALUE"""),"MER")</f>
        <v>MER</v>
      </c>
      <c r="I869" s="19" t="str">
        <f>IFERROR(__xludf.DUMMYFUNCTION("""COMPUTED_VALUE"""),"Entregada")</f>
        <v>Entregada</v>
      </c>
      <c r="J869" s="20">
        <f>IFERROR(__xludf.DUMMYFUNCTION("""COMPUTED_VALUE"""),44862.0)</f>
        <v>44862</v>
      </c>
      <c r="K869" s="19" t="str">
        <f>IFERROR(__xludf.DUMMYFUNCTION("""COMPUTED_VALUE"""),"Entregada")</f>
        <v>Entregada</v>
      </c>
      <c r="L869" s="20">
        <f>IFERROR(__xludf.DUMMYFUNCTION("""COMPUTED_VALUE"""),44876.0)</f>
        <v>44876</v>
      </c>
      <c r="M869" s="19" t="str">
        <f>IFERROR(__xludf.DUMMYFUNCTION("""COMPUTED_VALUE"""),"PCM")</f>
        <v>PCM</v>
      </c>
      <c r="N869" s="19" t="str">
        <f>IFERROR(__xludf.DUMMYFUNCTION("""COMPUTED_VALUE"""),"PRIORIDAD 1 Q3 2023 OCTUBRE")</f>
        <v>PRIORIDAD 1 Q3 2023 OCTUBRE</v>
      </c>
    </row>
    <row r="870" ht="15.75" customHeight="1">
      <c r="A870" s="19" t="str">
        <f>IFERROR(__xludf.DUMMYFUNCTION("""COMPUTED_VALUE"""),"AB_7878")</f>
        <v>AB_7878</v>
      </c>
      <c r="B870" s="19" t="str">
        <f>IFERROR(__xludf.DUMMYFUNCTION("""COMPUTED_VALUE"""),"AB_7878_J")</f>
        <v>AB_7878_J</v>
      </c>
      <c r="C870" s="19" t="str">
        <f>IFERROR(__xludf.DUMMYFUNCTION("""COMPUTED_VALUE"""),"RM7878")</f>
        <v>RM7878</v>
      </c>
      <c r="D870" s="19" t="str">
        <f>IFERROR(__xludf.DUMMYFUNCTION("""COMPUTED_VALUE"""),"Miraflores Principal RU2")</f>
        <v>Miraflores Principal RU2</v>
      </c>
      <c r="E870" s="19" t="str">
        <f>IFERROR(__xludf.DUMMYFUNCTION("""COMPUTED_VALUE"""),"SITIO RFI")</f>
        <v>SITIO RFI</v>
      </c>
      <c r="F870" s="19"/>
      <c r="G870" s="19" t="str">
        <f>IFERROR(__xludf.DUMMYFUNCTION("""COMPUTED_VALUE"""),"x")</f>
        <v>x</v>
      </c>
      <c r="H870" s="19" t="str">
        <f>IFERROR(__xludf.DUMMYFUNCTION("""COMPUTED_VALUE"""),"x")</f>
        <v>x</v>
      </c>
      <c r="I870" s="19" t="str">
        <f>IFERROR(__xludf.DUMMYFUNCTION("""COMPUTED_VALUE"""),"x")</f>
        <v>x</v>
      </c>
      <c r="J870" s="20" t="str">
        <f>IFERROR(__xludf.DUMMYFUNCTION("""COMPUTED_VALUE"""),"x")</f>
        <v>x</v>
      </c>
      <c r="K870" s="19" t="str">
        <f>IFERROR(__xludf.DUMMYFUNCTION("""COMPUTED_VALUE"""),"x")</f>
        <v>x</v>
      </c>
      <c r="L870" s="20" t="str">
        <f>IFERROR(__xludf.DUMMYFUNCTION("""COMPUTED_VALUE"""),"x")</f>
        <v>x</v>
      </c>
      <c r="M870" s="19" t="str">
        <f>IFERROR(__xludf.DUMMYFUNCTION("""COMPUTED_VALUE"""),"PCM")</f>
        <v>PCM</v>
      </c>
      <c r="N870" s="19" t="str">
        <f>IFERROR(__xludf.DUMMYFUNCTION("""COMPUTED_VALUE"""),"PRIORIDAD 1 Q3 2023 OCTUBRE")</f>
        <v>PRIORIDAD 1 Q3 2023 OCTUBRE</v>
      </c>
    </row>
    <row r="871" ht="15.75" customHeight="1">
      <c r="A871" s="19" t="str">
        <f>IFERROR(__xludf.DUMMYFUNCTION("""COMPUTED_VALUE"""),"AB_8120")</f>
        <v>AB_8120</v>
      </c>
      <c r="B871" s="19" t="str">
        <f>IFERROR(__xludf.DUMMYFUNCTION("""COMPUTED_VALUE"""),"AB_8120_A")</f>
        <v>AB_8120_A</v>
      </c>
      <c r="C871" s="19" t="str">
        <f>IFERROR(__xludf.DUMMYFUNCTION("""COMPUTED_VALUE"""),"RM8120")</f>
        <v>RM8120</v>
      </c>
      <c r="D871" s="19" t="str">
        <f>IFERROR(__xludf.DUMMYFUNCTION("""COMPUTED_VALUE"""),"Fundo El Alto")</f>
        <v>Fundo El Alto</v>
      </c>
      <c r="E871" s="19" t="str">
        <f>IFERROR(__xludf.DUMMYFUNCTION("""COMPUTED_VALUE"""),"SITIO EN CONSTRUCCION")</f>
        <v>SITIO EN CONSTRUCCION</v>
      </c>
      <c r="F871" s="19" t="str">
        <f>IFERROR(__xludf.DUMMYFUNCTION("""COMPUTED_VALUE"""),"MONTAJE")</f>
        <v>MONTAJE</v>
      </c>
      <c r="G871" s="19" t="str">
        <f>IFERROR(__xludf.DUMMYFUNCTION("""COMPUTED_VALUE"""),"CV36")</f>
        <v>CV36</v>
      </c>
      <c r="H871" s="19" t="str">
        <f>IFERROR(__xludf.DUMMYFUNCTION("""COMPUTED_VALUE"""),"ADM")</f>
        <v>ADM</v>
      </c>
      <c r="I871" s="19" t="str">
        <f>IFERROR(__xludf.DUMMYFUNCTION("""COMPUTED_VALUE"""),"Terminada")</f>
        <v>Terminada</v>
      </c>
      <c r="J871" s="20">
        <f>IFERROR(__xludf.DUMMYFUNCTION("""COMPUTED_VALUE"""),44743.0)</f>
        <v>44743</v>
      </c>
      <c r="K871" s="19" t="str">
        <f>IFERROR(__xludf.DUMMYFUNCTION("""COMPUTED_VALUE"""),"Terminada")</f>
        <v>Terminada</v>
      </c>
      <c r="L871" s="20">
        <f>IFERROR(__xludf.DUMMYFUNCTION("""COMPUTED_VALUE"""),44834.0)</f>
        <v>44834</v>
      </c>
      <c r="M871" s="19" t="str">
        <f>IFERROR(__xludf.DUMMYFUNCTION("""COMPUTED_VALUE"""),"PCM")</f>
        <v>PCM</v>
      </c>
      <c r="N871" s="19" t="str">
        <f>IFERROR(__xludf.DUMMYFUNCTION("""COMPUTED_VALUE"""),"PRIORIDAD 1 Q3 2023 OCTUBRE")</f>
        <v>PRIORIDAD 1 Q3 2023 OCTUBRE</v>
      </c>
    </row>
    <row r="872" ht="15.75" customHeight="1">
      <c r="A872" s="19" t="str">
        <f>IFERROR(__xludf.DUMMYFUNCTION("""COMPUTED_VALUE"""),"AB_8121")</f>
        <v>AB_8121</v>
      </c>
      <c r="B872" s="19" t="str">
        <f>IFERROR(__xludf.DUMMYFUNCTION("""COMPUTED_VALUE"""),"AB_8121_A")</f>
        <v>AB_8121_A</v>
      </c>
      <c r="C872" s="19" t="str">
        <f>IFERROR(__xludf.DUMMYFUNCTION("""COMPUTED_VALUE"""),"RM8121")</f>
        <v>RM8121</v>
      </c>
      <c r="D872" s="19" t="str">
        <f>IFERROR(__xludf.DUMMYFUNCTION("""COMPUTED_VALUE"""),"Parque Cantalao Cerro")</f>
        <v>Parque Cantalao Cerro</v>
      </c>
      <c r="E872" s="19" t="str">
        <f>IFERROR(__xludf.DUMMYFUNCTION("""COMPUTED_VALUE"""),"SITIO RFI")</f>
        <v>SITIO RFI</v>
      </c>
      <c r="F872" s="19" t="str">
        <f>IFERROR(__xludf.DUMMYFUNCTION("""COMPUTED_VALUE"""),"HORMIGONADO")</f>
        <v>HORMIGONADO</v>
      </c>
      <c r="G872" s="19" t="str">
        <f>IFERROR(__xludf.DUMMYFUNCTION("""COMPUTED_VALUE"""),"CV24")</f>
        <v>CV24</v>
      </c>
      <c r="H872" s="19" t="str">
        <f>IFERROR(__xludf.DUMMYFUNCTION("""COMPUTED_VALUE"""),"ADM")</f>
        <v>ADM</v>
      </c>
      <c r="I872" s="19" t="str">
        <f>IFERROR(__xludf.DUMMYFUNCTION("""COMPUTED_VALUE"""),"Entregada")</f>
        <v>Entregada</v>
      </c>
      <c r="J872" s="20">
        <f>IFERROR(__xludf.DUMMYFUNCTION("""COMPUTED_VALUE"""),44743.0)</f>
        <v>44743</v>
      </c>
      <c r="K872" s="19" t="str">
        <f>IFERROR(__xludf.DUMMYFUNCTION("""COMPUTED_VALUE"""),"Entregada")</f>
        <v>Entregada</v>
      </c>
      <c r="L872" s="20">
        <f>IFERROR(__xludf.DUMMYFUNCTION("""COMPUTED_VALUE"""),44743.0)</f>
        <v>44743</v>
      </c>
      <c r="M872" s="19" t="str">
        <f>IFERROR(__xludf.DUMMYFUNCTION("""COMPUTED_VALUE"""),"PCM")</f>
        <v>PCM</v>
      </c>
      <c r="N872" s="19" t="str">
        <f>IFERROR(__xludf.DUMMYFUNCTION("""COMPUTED_VALUE"""),"PRIORIDAD 1 Q3 2023 OCTUBRE")</f>
        <v>PRIORIDAD 1 Q3 2023 OCTUBRE</v>
      </c>
    </row>
    <row r="873" ht="15.75" customHeight="1">
      <c r="A873" s="19" t="str">
        <f>IFERROR(__xludf.DUMMYFUNCTION("""COMPUTED_VALUE"""),"AB_8125")</f>
        <v>AB_8125</v>
      </c>
      <c r="B873" s="19" t="str">
        <f>IFERROR(__xludf.DUMMYFUNCTION("""COMPUTED_VALUE"""),"AB_8125_B")</f>
        <v>AB_8125_B</v>
      </c>
      <c r="C873" s="19" t="str">
        <f>IFERROR(__xludf.DUMMYFUNCTION("""COMPUTED_VALUE"""),"RM8125")</f>
        <v>RM8125</v>
      </c>
      <c r="D873" s="19" t="str">
        <f>IFERROR(__xludf.DUMMYFUNCTION("""COMPUTED_VALUE"""),"Hacienda La Rinconada")</f>
        <v>Hacienda La Rinconada</v>
      </c>
      <c r="E873" s="19" t="str">
        <f>IFERROR(__xludf.DUMMYFUNCTION("""COMPUTED_VALUE"""),"SITIO RFI")</f>
        <v>SITIO RFI</v>
      </c>
      <c r="F873" s="19" t="str">
        <f>IFERROR(__xludf.DUMMYFUNCTION("""COMPUTED_VALUE"""),"RFI")</f>
        <v>RFI</v>
      </c>
      <c r="G873" s="19" t="str">
        <f>IFERROR(__xludf.DUMMYFUNCTION("""COMPUTED_VALUE"""),"CV60")</f>
        <v>CV60</v>
      </c>
      <c r="H873" s="19" t="str">
        <f>IFERROR(__xludf.DUMMYFUNCTION("""COMPUTED_VALUE"""),"AJ")</f>
        <v>AJ</v>
      </c>
      <c r="I873" s="19" t="str">
        <f>IFERROR(__xludf.DUMMYFUNCTION("""COMPUTED_VALUE"""),"Entregada")</f>
        <v>Entregada</v>
      </c>
      <c r="J873" s="20">
        <f>IFERROR(__xludf.DUMMYFUNCTION("""COMPUTED_VALUE"""),44732.0)</f>
        <v>44732</v>
      </c>
      <c r="K873" s="19" t="str">
        <f>IFERROR(__xludf.DUMMYFUNCTION("""COMPUTED_VALUE"""),"Entregada")</f>
        <v>Entregada</v>
      </c>
      <c r="L873" s="20">
        <f>IFERROR(__xludf.DUMMYFUNCTION("""COMPUTED_VALUE"""),44848.0)</f>
        <v>44848</v>
      </c>
      <c r="M873" s="19" t="str">
        <f>IFERROR(__xludf.DUMMYFUNCTION("""COMPUTED_VALUE"""),"PCM")</f>
        <v>PCM</v>
      </c>
      <c r="N873" s="19" t="str">
        <f>IFERROR(__xludf.DUMMYFUNCTION("""COMPUTED_VALUE"""),"PRIORIDAD 1 Q3 2023 OCTUBRE")</f>
        <v>PRIORIDAD 1 Q3 2023 OCTUBRE</v>
      </c>
    </row>
    <row r="874" ht="15.75" customHeight="1">
      <c r="A874" s="19" t="str">
        <f>IFERROR(__xludf.DUMMYFUNCTION("""COMPUTED_VALUE"""),"AB_9087")</f>
        <v>AB_9087</v>
      </c>
      <c r="B874" s="19" t="str">
        <f>IFERROR(__xludf.DUMMYFUNCTION("""COMPUTED_VALUE"""),"AB_9087_C")</f>
        <v>AB_9087_C</v>
      </c>
      <c r="C874" s="19" t="str">
        <f>IFERROR(__xludf.DUMMYFUNCTION("""COMPUTED_VALUE"""),"RM9087")</f>
        <v>RM9087</v>
      </c>
      <c r="D874" s="19" t="str">
        <f>IFERROR(__xludf.DUMMYFUNCTION("""COMPUTED_VALUE"""),"Cerro Pinto Concha")</f>
        <v>Cerro Pinto Concha</v>
      </c>
      <c r="E874" s="19" t="str">
        <f>IFERROR(__xludf.DUMMYFUNCTION("""COMPUTED_VALUE"""),"SITIO RFI")</f>
        <v>SITIO RFI</v>
      </c>
      <c r="F874" s="19" t="str">
        <f>IFERROR(__xludf.DUMMYFUNCTION("""COMPUTED_VALUE"""),"RFI")</f>
        <v>RFI</v>
      </c>
      <c r="G874" s="19" t="str">
        <f>IFERROR(__xludf.DUMMYFUNCTION("""COMPUTED_VALUE"""),"CV60")</f>
        <v>CV60</v>
      </c>
      <c r="H874" s="19" t="str">
        <f>IFERROR(__xludf.DUMMYFUNCTION("""COMPUTED_VALUE"""),"ADM")</f>
        <v>ADM</v>
      </c>
      <c r="I874" s="19" t="str">
        <f>IFERROR(__xludf.DUMMYFUNCTION("""COMPUTED_VALUE"""),"Entregada")</f>
        <v>Entregada</v>
      </c>
      <c r="J874" s="20">
        <f>IFERROR(__xludf.DUMMYFUNCTION("""COMPUTED_VALUE"""),44743.0)</f>
        <v>44743</v>
      </c>
      <c r="K874" s="19" t="str">
        <f>IFERROR(__xludf.DUMMYFUNCTION("""COMPUTED_VALUE"""),"Entregada")</f>
        <v>Entregada</v>
      </c>
      <c r="L874" s="20">
        <f>IFERROR(__xludf.DUMMYFUNCTION("""COMPUTED_VALUE"""),44890.0)</f>
        <v>44890</v>
      </c>
      <c r="M874" s="19" t="str">
        <f>IFERROR(__xludf.DUMMYFUNCTION("""COMPUTED_VALUE"""),"PCM")</f>
        <v>PCM</v>
      </c>
      <c r="N874" s="19" t="str">
        <f>IFERROR(__xludf.DUMMYFUNCTION("""COMPUTED_VALUE"""),"PRIORIDAD 1 Q3 2023 OCTUBRE")</f>
        <v>PRIORIDAD 1 Q3 2023 OCTUBRE</v>
      </c>
    </row>
    <row r="875" ht="15.75" customHeight="1">
      <c r="A875" s="19" t="str">
        <f>IFERROR(__xludf.DUMMYFUNCTION("""COMPUTED_VALUE"""),"AB_9098")</f>
        <v>AB_9098</v>
      </c>
      <c r="B875" s="19" t="str">
        <f>IFERROR(__xludf.DUMMYFUNCTION("""COMPUTED_VALUE"""),"AB_9098_J")</f>
        <v>AB_9098_J</v>
      </c>
      <c r="C875" s="19" t="str">
        <f>IFERROR(__xludf.DUMMYFUNCTION("""COMPUTED_VALUE"""),"RM9098")</f>
        <v>RM9098</v>
      </c>
      <c r="D875" s="19" t="str">
        <f>IFERROR(__xludf.DUMMYFUNCTION("""COMPUTED_VALUE"""),"Peñaflor Las Palmas RU")</f>
        <v>Peñaflor Las Palmas RU</v>
      </c>
      <c r="E875" s="19" t="str">
        <f>IFERROR(__xludf.DUMMYFUNCTION("""COMPUTED_VALUE"""),"DETENIDO COMPRA ESTRUCTURA")</f>
        <v>DETENIDO COMPRA ESTRUCTURA</v>
      </c>
      <c r="F875" s="19"/>
      <c r="G875" s="19" t="str">
        <f>IFERROR(__xludf.DUMMYFUNCTION("""COMPUTED_VALUE"""),"MP R36")</f>
        <v>MP R36</v>
      </c>
      <c r="H875" s="19" t="str">
        <f>IFERROR(__xludf.DUMMYFUNCTION("""COMPUTED_VALUE"""),"COMPRAS")</f>
        <v>COMPRAS</v>
      </c>
      <c r="I875" s="19"/>
      <c r="J875" s="19"/>
      <c r="K875" s="19"/>
      <c r="L875" s="19"/>
      <c r="M875" s="19" t="str">
        <f>IFERROR(__xludf.DUMMYFUNCTION("""COMPUTED_VALUE"""),"PCM")</f>
        <v>PCM</v>
      </c>
      <c r="N875" s="19" t="str">
        <f>IFERROR(__xludf.DUMMYFUNCTION("""COMPUTED_VALUE"""),"PRIORIDAD 3 Q1 2024 MARZO")</f>
        <v>PRIORIDAD 3 Q1 2024 MARZO</v>
      </c>
    </row>
    <row r="876" ht="15.75" customHeight="1">
      <c r="A876" s="19" t="str">
        <f>IFERROR(__xludf.DUMMYFUNCTION("""COMPUTED_VALUE"""),"AB_9381")</f>
        <v>AB_9381</v>
      </c>
      <c r="B876" s="19" t="str">
        <f>IFERROR(__xludf.DUMMYFUNCTION("""COMPUTED_VALUE"""),"AB_9381_D")</f>
        <v>AB_9381_D</v>
      </c>
      <c r="C876" s="19" t="str">
        <f>IFERROR(__xludf.DUMMYFUNCTION("""COMPUTED_VALUE"""),"RM9381")</f>
        <v>RM9381</v>
      </c>
      <c r="D876" s="19" t="str">
        <f>IFERROR(__xludf.DUMMYFUNCTION("""COMPUTED_VALUE"""),"Humedal Santa Luisa")</f>
        <v>Humedal Santa Luisa</v>
      </c>
      <c r="E876" s="19" t="str">
        <f>IFERROR(__xludf.DUMMYFUNCTION("""COMPUTED_VALUE"""),"SITIO CONSTRUIDO")</f>
        <v>SITIO CONSTRUIDO</v>
      </c>
      <c r="F876" s="19"/>
      <c r="G876" s="19" t="str">
        <f>IFERROR(__xludf.DUMMYFUNCTION("""COMPUTED_VALUE"""),"MP R8")</f>
        <v>MP R8</v>
      </c>
      <c r="H876" s="19" t="str">
        <f>IFERROR(__xludf.DUMMYFUNCTION("""COMPUTED_VALUE"""),"COMPRAS")</f>
        <v>COMPRAS</v>
      </c>
      <c r="I876" s="19"/>
      <c r="J876" s="19"/>
      <c r="K876" s="19"/>
      <c r="L876" s="19"/>
      <c r="M876" s="19" t="str">
        <f>IFERROR(__xludf.DUMMYFUNCTION("""COMPUTED_VALUE"""),"PCM")</f>
        <v>PCM</v>
      </c>
      <c r="N876" s="19" t="str">
        <f>IFERROR(__xludf.DUMMYFUNCTION("""COMPUTED_VALUE"""),"PRIORIDAD 1 Q3 2023 OCTUBRE")</f>
        <v>PRIORIDAD 1 Q3 2023 OCTUBRE</v>
      </c>
    </row>
    <row r="877" ht="15.75" customHeight="1">
      <c r="A877" s="19" t="str">
        <f>IFERROR(__xludf.DUMMYFUNCTION("""COMPUTED_VALUE"""),"AB_5802")</f>
        <v>AB_5802</v>
      </c>
      <c r="B877" s="19" t="str">
        <f>IFERROR(__xludf.DUMMYFUNCTION("""COMPUTED_VALUE"""),"AB_5802_B")</f>
        <v>AB_5802_B</v>
      </c>
      <c r="C877" s="19" t="str">
        <f>IFERROR(__xludf.DUMMYFUNCTION("""COMPUTED_VALUE"""),"OH5802")</f>
        <v>OH5802</v>
      </c>
      <c r="D877" s="19" t="str">
        <f>IFERROR(__xludf.DUMMYFUNCTION("""COMPUTED_VALUE"""),"Rengo San Carlos")</f>
        <v>Rengo San Carlos</v>
      </c>
      <c r="E877" s="19" t="str">
        <f>IFERROR(__xludf.DUMMYFUNCTION("""COMPUTED_VALUE"""),"SITIO CONSTRUIDO")</f>
        <v>SITIO CONSTRUIDO</v>
      </c>
      <c r="F877" s="19" t="str">
        <f>IFERROR(__xludf.DUMMYFUNCTION("""COMPUTED_VALUE"""),"MONTAJE")</f>
        <v>MONTAJE</v>
      </c>
      <c r="G877" s="19" t="str">
        <f>IFERROR(__xludf.DUMMYFUNCTION("""COMPUTED_VALUE"""),"CV36")</f>
        <v>CV36</v>
      </c>
      <c r="H877" s="19" t="str">
        <f>IFERROR(__xludf.DUMMYFUNCTION("""COMPUTED_VALUE"""),"AJ")</f>
        <v>AJ</v>
      </c>
      <c r="I877" s="19" t="str">
        <f>IFERROR(__xludf.DUMMYFUNCTION("""COMPUTED_VALUE"""),"Entregada")</f>
        <v>Entregada</v>
      </c>
      <c r="J877" s="20">
        <f>IFERROR(__xludf.DUMMYFUNCTION("""COMPUTED_VALUE"""),44697.0)</f>
        <v>44697</v>
      </c>
      <c r="K877" s="19" t="str">
        <f>IFERROR(__xludf.DUMMYFUNCTION("""COMPUTED_VALUE"""),"Entregada")</f>
        <v>Entregada</v>
      </c>
      <c r="L877" s="20">
        <f>IFERROR(__xludf.DUMMYFUNCTION("""COMPUTED_VALUE"""),44873.0)</f>
        <v>44873</v>
      </c>
      <c r="M877" s="19" t="str">
        <f>IFERROR(__xludf.DUMMYFUNCTION("""COMPUTED_VALUE"""),"LLOO")</f>
        <v>LLOO</v>
      </c>
      <c r="N877" s="19" t="str">
        <f>IFERROR(__xludf.DUMMYFUNCTION("""COMPUTED_VALUE"""),"PRIORIDAD 1 Q3 2023 OCTUBRE")</f>
        <v>PRIORIDAD 1 Q3 2023 OCTUBRE</v>
      </c>
    </row>
    <row r="878" ht="15.75" customHeight="1">
      <c r="A878" s="19" t="str">
        <f>IFERROR(__xludf.DUMMYFUNCTION("""COMPUTED_VALUE"""),"AB_9383")</f>
        <v>AB_9383</v>
      </c>
      <c r="B878" s="19" t="str">
        <f>IFERROR(__xludf.DUMMYFUNCTION("""COMPUTED_VALUE"""),"AB_9383_A")</f>
        <v>AB_9383_A</v>
      </c>
      <c r="C878" s="19" t="str">
        <f>IFERROR(__xludf.DUMMYFUNCTION("""COMPUTED_VALUE"""),"RM9383")</f>
        <v>RM9383</v>
      </c>
      <c r="D878" s="19" t="str">
        <f>IFERROR(__xludf.DUMMYFUNCTION("""COMPUTED_VALUE"""),"Cerro Alto Vizcachas")</f>
        <v>Cerro Alto Vizcachas</v>
      </c>
      <c r="E878" s="19" t="str">
        <f>IFERROR(__xludf.DUMMYFUNCTION("""COMPUTED_VALUE"""),"SITIO PENDIENTE")</f>
        <v>SITIO PENDIENTE</v>
      </c>
      <c r="F878" s="19"/>
      <c r="G878" s="19" t="str">
        <f>IFERROR(__xludf.DUMMYFUNCTION("""COMPUTED_VALUE"""),"CV42")</f>
        <v>CV42</v>
      </c>
      <c r="H878" s="19" t="str">
        <f>IFERROR(__xludf.DUMMYFUNCTION("""COMPUTED_VALUE"""),"COMPRAS")</f>
        <v>COMPRAS</v>
      </c>
      <c r="I878" s="19"/>
      <c r="J878" s="19"/>
      <c r="K878" s="19"/>
      <c r="L878" s="19"/>
      <c r="M878" s="19" t="str">
        <f>IFERROR(__xludf.DUMMYFUNCTION("""COMPUTED_VALUE"""),"PCM")</f>
        <v>PCM</v>
      </c>
      <c r="N878" s="19" t="str">
        <f>IFERROR(__xludf.DUMMYFUNCTION("""COMPUTED_VALUE"""),"PRIORIDAD 3 Q1 2024 MARZO")</f>
        <v>PRIORIDAD 3 Q1 2024 MARZO</v>
      </c>
    </row>
    <row r="879" ht="15.75" customHeight="1">
      <c r="A879" s="19" t="str">
        <f>IFERROR(__xludf.DUMMYFUNCTION("""COMPUTED_VALUE"""),"AB_9598")</f>
        <v>AB_9598</v>
      </c>
      <c r="B879" s="19" t="str">
        <f>IFERROR(__xludf.DUMMYFUNCTION("""COMPUTED_VALUE"""),"AB_9598_A")</f>
        <v>AB_9598_A</v>
      </c>
      <c r="C879" s="19" t="str">
        <f>IFERROR(__xludf.DUMMYFUNCTION("""COMPUTED_VALUE"""),"RM9598")</f>
        <v>RM9598</v>
      </c>
      <c r="D879" s="19" t="str">
        <f>IFERROR(__xludf.DUMMYFUNCTION("""COMPUTED_VALUE"""),"Valle de la Engorda")</f>
        <v>Valle de la Engorda</v>
      </c>
      <c r="E879" s="19" t="str">
        <f>IFERROR(__xludf.DUMMYFUNCTION("""COMPUTED_VALUE"""),"SITIO PENDIENTE")</f>
        <v>SITIO PENDIENTE</v>
      </c>
      <c r="F879" s="19"/>
      <c r="G879" s="19" t="str">
        <f>IFERROR(__xludf.DUMMYFUNCTION("""COMPUTED_VALUE"""),"x")</f>
        <v>x</v>
      </c>
      <c r="H879" s="19" t="str">
        <f>IFERROR(__xludf.DUMMYFUNCTION("""COMPUTED_VALUE"""),"x")</f>
        <v>x</v>
      </c>
      <c r="I879" s="19" t="str">
        <f>IFERROR(__xludf.DUMMYFUNCTION("""COMPUTED_VALUE"""),"x")</f>
        <v>x</v>
      </c>
      <c r="J879" s="20" t="str">
        <f>IFERROR(__xludf.DUMMYFUNCTION("""COMPUTED_VALUE"""),"x")</f>
        <v>x</v>
      </c>
      <c r="K879" s="19" t="str">
        <f>IFERROR(__xludf.DUMMYFUNCTION("""COMPUTED_VALUE"""),"x")</f>
        <v>x</v>
      </c>
      <c r="L879" s="20" t="str">
        <f>IFERROR(__xludf.DUMMYFUNCTION("""COMPUTED_VALUE"""),"x")</f>
        <v>x</v>
      </c>
      <c r="M879" s="19" t="str">
        <f>IFERROR(__xludf.DUMMYFUNCTION("""COMPUTED_VALUE"""),"PP")</f>
        <v>PP</v>
      </c>
      <c r="N879" s="19" t="str">
        <f>IFERROR(__xludf.DUMMYFUNCTION("""COMPUTED_VALUE"""),"PRIORIDAD 3 Q1 2024 MARZO")</f>
        <v>PRIORIDAD 3 Q1 2024 MARZO</v>
      </c>
    </row>
    <row r="880" ht="15.75" customHeight="1">
      <c r="A880" s="19" t="str">
        <f>IFERROR(__xludf.DUMMYFUNCTION("""COMPUTED_VALUE"""),"AB_9599")</f>
        <v>AB_9599</v>
      </c>
      <c r="B880" s="19" t="str">
        <f>IFERROR(__xludf.DUMMYFUNCTION("""COMPUTED_VALUE"""),"AB_9599_F")</f>
        <v>AB_9599_F</v>
      </c>
      <c r="C880" s="19" t="str">
        <f>IFERROR(__xludf.DUMMYFUNCTION("""COMPUTED_VALUE"""),"RM9599")</f>
        <v>RM9599</v>
      </c>
      <c r="D880" s="19" t="str">
        <f>IFERROR(__xludf.DUMMYFUNCTION("""COMPUTED_VALUE"""),"El Volcan SJ de Maipo")</f>
        <v>El Volcan SJ de Maipo</v>
      </c>
      <c r="E880" s="19" t="str">
        <f>IFERROR(__xludf.DUMMYFUNCTION("""COMPUTED_VALUE"""),"DETENIDO SAC")</f>
        <v>DETENIDO SAC</v>
      </c>
      <c r="F880" s="19" t="str">
        <f>IFERROR(__xludf.DUMMYFUNCTION("""COMPUTED_VALUE"""),"VISITA")</f>
        <v>VISITA</v>
      </c>
      <c r="G880" s="19" t="str">
        <f>IFERROR(__xludf.DUMMYFUNCTION("""COMPUTED_VALUE"""),"CV30")</f>
        <v>CV30</v>
      </c>
      <c r="H880" s="19" t="str">
        <f>IFERROR(__xludf.DUMMYFUNCTION("""COMPUTED_VALUE"""),"MER")</f>
        <v>MER</v>
      </c>
      <c r="I880" s="19" t="str">
        <f>IFERROR(__xludf.DUMMYFUNCTION("""COMPUTED_VALUE"""),"Terminada")</f>
        <v>Terminada</v>
      </c>
      <c r="J880" s="20">
        <f>IFERROR(__xludf.DUMMYFUNCTION("""COMPUTED_VALUE"""),45051.0)</f>
        <v>45051</v>
      </c>
      <c r="K880" s="19" t="str">
        <f>IFERROR(__xludf.DUMMYFUNCTION("""COMPUTED_VALUE"""),"Por pintar ")</f>
        <v>Por pintar </v>
      </c>
      <c r="L880" s="20">
        <f>IFERROR(__xludf.DUMMYFUNCTION("""COMPUTED_VALUE"""),45054.0)</f>
        <v>45054</v>
      </c>
      <c r="M880" s="19" t="str">
        <f>IFERROR(__xludf.DUMMYFUNCTION("""COMPUTED_VALUE"""),"PP")</f>
        <v>PP</v>
      </c>
      <c r="N880" s="19" t="str">
        <f>IFERROR(__xludf.DUMMYFUNCTION("""COMPUTED_VALUE"""),"PRIORIDAD 1 Q3 2023 OCTUBRE")</f>
        <v>PRIORIDAD 1 Q3 2023 OCTUBRE</v>
      </c>
    </row>
    <row r="881" ht="15.75" customHeight="1">
      <c r="A881" s="19" t="str">
        <f>IFERROR(__xludf.DUMMYFUNCTION("""COMPUTED_VALUE"""),"AB_9643")</f>
        <v>AB_9643</v>
      </c>
      <c r="B881" s="19" t="str">
        <f>IFERROR(__xludf.DUMMYFUNCTION("""COMPUTED_VALUE"""),"AB_9643_B")</f>
        <v>AB_9643_B</v>
      </c>
      <c r="C881" s="19" t="str">
        <f>IFERROR(__xludf.DUMMYFUNCTION("""COMPUTED_VALUE"""),"RM9643")</f>
        <v>RM9643</v>
      </c>
      <c r="D881" s="19" t="str">
        <f>IFERROR(__xludf.DUMMYFUNCTION("""COMPUTED_VALUE"""),"Tunel Cuesta Lo Prado")</f>
        <v>Tunel Cuesta Lo Prado</v>
      </c>
      <c r="E881" s="19" t="str">
        <f>IFERROR(__xludf.DUMMYFUNCTION("""COMPUTED_VALUE"""),"SITIO RFI")</f>
        <v>SITIO RFI</v>
      </c>
      <c r="F881" s="19" t="str">
        <f>IFERROR(__xludf.DUMMYFUNCTION("""COMPUTED_VALUE"""),"RFI")</f>
        <v>RFI</v>
      </c>
      <c r="G881" s="19" t="str">
        <f>IFERROR(__xludf.DUMMYFUNCTION("""COMPUTED_VALUE"""),"CV42")</f>
        <v>CV42</v>
      </c>
      <c r="H881" s="19" t="str">
        <f>IFERROR(__xludf.DUMMYFUNCTION("""COMPUTED_VALUE"""),"SYC")</f>
        <v>SYC</v>
      </c>
      <c r="I881" s="19" t="str">
        <f>IFERROR(__xludf.DUMMYFUNCTION("""COMPUTED_VALUE"""),"Entregada")</f>
        <v>Entregada</v>
      </c>
      <c r="J881" s="20">
        <f>IFERROR(__xludf.DUMMYFUNCTION("""COMPUTED_VALUE"""),44854.0)</f>
        <v>44854</v>
      </c>
      <c r="K881" s="19" t="str">
        <f>IFERROR(__xludf.DUMMYFUNCTION("""COMPUTED_VALUE"""),"Entregada")</f>
        <v>Entregada</v>
      </c>
      <c r="L881" s="20">
        <f>IFERROR(__xludf.DUMMYFUNCTION("""COMPUTED_VALUE"""),44869.0)</f>
        <v>44869</v>
      </c>
      <c r="M881" s="19" t="str">
        <f>IFERROR(__xludf.DUMMYFUNCTION("""COMPUTED_VALUE"""),"PCM")</f>
        <v>PCM</v>
      </c>
      <c r="N881" s="19" t="str">
        <f>IFERROR(__xludf.DUMMYFUNCTION("""COMPUTED_VALUE"""),"PRIORIDAD 1 Q3 2023 OCTUBRE")</f>
        <v>PRIORIDAD 1 Q3 2023 OCTUBRE</v>
      </c>
    </row>
    <row r="882" ht="15.75" customHeight="1">
      <c r="A882" s="19" t="str">
        <f>IFERROR(__xludf.DUMMYFUNCTION("""COMPUTED_VALUE"""),"AB_9652")</f>
        <v>AB_9652</v>
      </c>
      <c r="B882" s="19" t="str">
        <f>IFERROR(__xludf.DUMMYFUNCTION("""COMPUTED_VALUE"""),"AB_9652_A")</f>
        <v>AB_9652_A</v>
      </c>
      <c r="C882" s="19" t="str">
        <f>IFERROR(__xludf.DUMMYFUNCTION("""COMPUTED_VALUE"""),"RM9652")</f>
        <v>RM9652</v>
      </c>
      <c r="D882" s="19" t="str">
        <f>IFERROR(__xludf.DUMMYFUNCTION("""COMPUTED_VALUE"""),"Quebrada Los Pozos")</f>
        <v>Quebrada Los Pozos</v>
      </c>
      <c r="E882" s="19" t="str">
        <f>IFERROR(__xludf.DUMMYFUNCTION("""COMPUTED_VALUE"""),"SITIO PENDIENTE")</f>
        <v>SITIO PENDIENTE</v>
      </c>
      <c r="F882" s="19"/>
      <c r="G882" s="19" t="str">
        <f>IFERROR(__xludf.DUMMYFUNCTION("""COMPUTED_VALUE"""),"AS24")</f>
        <v>AS24</v>
      </c>
      <c r="H882" s="19" t="str">
        <f>IFERROR(__xludf.DUMMYFUNCTION("""COMPUTED_VALUE"""),"AJ")</f>
        <v>AJ</v>
      </c>
      <c r="I882" s="19" t="str">
        <f>IFERROR(__xludf.DUMMYFUNCTION("""COMPUTED_VALUE"""),"Terminada")</f>
        <v>Terminada</v>
      </c>
      <c r="J882" s="20">
        <f>IFERROR(__xludf.DUMMYFUNCTION("""COMPUTED_VALUE"""),44697.0)</f>
        <v>44697</v>
      </c>
      <c r="K882" s="19" t="str">
        <f>IFERROR(__xludf.DUMMYFUNCTION("""COMPUTED_VALUE"""),"Por pintar ")</f>
        <v>Por pintar </v>
      </c>
      <c r="L882" s="20">
        <f>IFERROR(__xludf.DUMMYFUNCTION("""COMPUTED_VALUE"""),44848.0)</f>
        <v>44848</v>
      </c>
      <c r="M882" s="19" t="str">
        <f>IFERROR(__xludf.DUMMYFUNCTION("""COMPUTED_VALUE"""),"PCM")</f>
        <v>PCM</v>
      </c>
      <c r="N882" s="19" t="str">
        <f>IFERROR(__xludf.DUMMYFUNCTION("""COMPUTED_VALUE"""),"PRIORIDAD 3 Q1 2024 MARZO")</f>
        <v>PRIORIDAD 3 Q1 2024 MARZO</v>
      </c>
    </row>
    <row r="883" ht="15.75" customHeight="1">
      <c r="A883" s="19" t="str">
        <f>IFERROR(__xludf.DUMMYFUNCTION("""COMPUTED_VALUE"""),"AB_9781")</f>
        <v>AB_9781</v>
      </c>
      <c r="B883" s="19" t="str">
        <f>IFERROR(__xludf.DUMMYFUNCTION("""COMPUTED_VALUE"""),"AB_9781_F")</f>
        <v>AB_9781_F</v>
      </c>
      <c r="C883" s="19" t="str">
        <f>IFERROR(__xludf.DUMMYFUNCTION("""COMPUTED_VALUE"""),"RM9781")</f>
        <v>RM9781</v>
      </c>
      <c r="D883" s="19" t="str">
        <f>IFERROR(__xludf.DUMMYFUNCTION("""COMPUTED_VALUE"""),"Paico Alto")</f>
        <v>Paico Alto</v>
      </c>
      <c r="E883" s="19" t="str">
        <f>IFERROR(__xludf.DUMMYFUNCTION("""COMPUTED_VALUE"""),"SITIO RFI")</f>
        <v>SITIO RFI</v>
      </c>
      <c r="F883" s="19" t="str">
        <f>IFERROR(__xludf.DUMMYFUNCTION("""COMPUTED_VALUE"""),"RFI")</f>
        <v>RFI</v>
      </c>
      <c r="G883" s="19" t="str">
        <f>IFERROR(__xludf.DUMMYFUNCTION("""COMPUTED_VALUE"""),"AS48")</f>
        <v>AS48</v>
      </c>
      <c r="H883" s="19" t="str">
        <f>IFERROR(__xludf.DUMMYFUNCTION("""COMPUTED_VALUE"""),"MER")</f>
        <v>MER</v>
      </c>
      <c r="I883" s="19" t="str">
        <f>IFERROR(__xludf.DUMMYFUNCTION("""COMPUTED_VALUE"""),"Entregada")</f>
        <v>Entregada</v>
      </c>
      <c r="J883" s="20">
        <f>IFERROR(__xludf.DUMMYFUNCTION("""COMPUTED_VALUE"""),44722.0)</f>
        <v>44722</v>
      </c>
      <c r="K883" s="19" t="str">
        <f>IFERROR(__xludf.DUMMYFUNCTION("""COMPUTED_VALUE"""),"Entregada")</f>
        <v>Entregada</v>
      </c>
      <c r="L883" s="20">
        <f>IFERROR(__xludf.DUMMYFUNCTION("""COMPUTED_VALUE"""),44736.0)</f>
        <v>44736</v>
      </c>
      <c r="M883" s="19" t="str">
        <f>IFERROR(__xludf.DUMMYFUNCTION("""COMPUTED_VALUE"""),"PCM")</f>
        <v>PCM</v>
      </c>
      <c r="N883" s="19" t="str">
        <f>IFERROR(__xludf.DUMMYFUNCTION("""COMPUTED_VALUE"""),"PRIORIDAD 1 Q3 2023 OCTUBRE")</f>
        <v>PRIORIDAD 1 Q3 2023 OCTUBRE</v>
      </c>
    </row>
    <row r="884" ht="15.75" customHeight="1">
      <c r="A884" s="19" t="str">
        <f>IFERROR(__xludf.DUMMYFUNCTION("""COMPUTED_VALUE"""),"AB_10078")</f>
        <v>AB_10078</v>
      </c>
      <c r="B884" s="19" t="str">
        <f>IFERROR(__xludf.DUMMYFUNCTION("""COMPUTED_VALUE"""),"AB_10078_A")</f>
        <v>AB_10078_A</v>
      </c>
      <c r="C884" s="19" t="str">
        <f>IFERROR(__xludf.DUMMYFUNCTION("""COMPUTED_VALUE"""),"TA10078")</f>
        <v>TA10078</v>
      </c>
      <c r="D884" s="19" t="str">
        <f>IFERROR(__xludf.DUMMYFUNCTION("""COMPUTED_VALUE"""),"Interseccion A357-Ruta15")</f>
        <v>Interseccion A357-Ruta15</v>
      </c>
      <c r="E884" s="19" t="str">
        <f>IFERROR(__xludf.DUMMYFUNCTION("""COMPUTED_VALUE"""),"SITIO ASIGNADO")</f>
        <v>SITIO ASIGNADO</v>
      </c>
      <c r="F884" s="19"/>
      <c r="G884" s="19" t="str">
        <f>IFERROR(__xludf.DUMMYFUNCTION("""COMPUTED_VALUE"""),"CV36")</f>
        <v>CV36</v>
      </c>
      <c r="H884" s="19" t="str">
        <f>IFERROR(__xludf.DUMMYFUNCTION("""COMPUTED_VALUE"""),"INGENIUS")</f>
        <v>INGENIUS</v>
      </c>
      <c r="I884" s="19" t="str">
        <f>IFERROR(__xludf.DUMMYFUNCTION("""COMPUTED_VALUE"""),"Terminada")</f>
        <v>Terminada</v>
      </c>
      <c r="J884" s="20">
        <f>IFERROR(__xludf.DUMMYFUNCTION("""COMPUTED_VALUE"""),45041.0)</f>
        <v>45041</v>
      </c>
      <c r="K884" s="19" t="str">
        <f>IFERROR(__xludf.DUMMYFUNCTION("""COMPUTED_VALUE"""),"Por pintar ")</f>
        <v>Por pintar </v>
      </c>
      <c r="L884" s="20">
        <f>IFERROR(__xludf.DUMMYFUNCTION("""COMPUTED_VALUE"""),45117.0)</f>
        <v>45117</v>
      </c>
      <c r="M884" s="19" t="str">
        <f>IFERROR(__xludf.DUMMYFUNCTION("""COMPUTED_VALUE"""),"PP")</f>
        <v>PP</v>
      </c>
      <c r="N884" s="19" t="str">
        <f>IFERROR(__xludf.DUMMYFUNCTION("""COMPUTED_VALUE"""),"PRIORIDAD 1 Q3 2023 OCTUBRE")</f>
        <v>PRIORIDAD 1 Q3 2023 OCTUBRE</v>
      </c>
    </row>
    <row r="885" ht="15.75" customHeight="1">
      <c r="A885" s="19" t="str">
        <f>IFERROR(__xludf.DUMMYFUNCTION("""COMPUTED_VALUE"""),"AB_10092")</f>
        <v>AB_10092</v>
      </c>
      <c r="B885" s="19" t="str">
        <f>IFERROR(__xludf.DUMMYFUNCTION("""COMPUTED_VALUE"""),"AB_10092_A")</f>
        <v>AB_10092_A</v>
      </c>
      <c r="C885" s="19" t="str">
        <f>IFERROR(__xludf.DUMMYFUNCTION("""COMPUTED_VALUE"""),"TA10092")</f>
        <v>TA10092</v>
      </c>
      <c r="D885" s="19" t="str">
        <f>IFERROR(__xludf.DUMMYFUNCTION("""COMPUTED_VALUE"""),"Cerro Picavilque")</f>
        <v>Cerro Picavilque</v>
      </c>
      <c r="E885" s="19" t="str">
        <f>IFERROR(__xludf.DUMMYFUNCTION("""COMPUTED_VALUE"""),"EN VALIDACION COMPRAS")</f>
        <v>EN VALIDACION COMPRAS</v>
      </c>
      <c r="F885" s="19"/>
      <c r="G885" s="19" t="str">
        <f>IFERROR(__xludf.DUMMYFUNCTION("""COMPUTED_VALUE"""),"CV36")</f>
        <v>CV36</v>
      </c>
      <c r="H885" s="19" t="str">
        <f>IFERROR(__xludf.DUMMYFUNCTION("""COMPUTED_VALUE"""),"INGENIUS")</f>
        <v>INGENIUS</v>
      </c>
      <c r="I885" s="19" t="str">
        <f>IFERROR(__xludf.DUMMYFUNCTION("""COMPUTED_VALUE"""),"Terminada")</f>
        <v>Terminada</v>
      </c>
      <c r="J885" s="20">
        <f>IFERROR(__xludf.DUMMYFUNCTION("""COMPUTED_VALUE"""),45041.0)</f>
        <v>45041</v>
      </c>
      <c r="K885" s="19" t="str">
        <f>IFERROR(__xludf.DUMMYFUNCTION("""COMPUTED_VALUE"""),"Por pintar ")</f>
        <v>Por pintar </v>
      </c>
      <c r="L885" s="20">
        <f>IFERROR(__xludf.DUMMYFUNCTION("""COMPUTED_VALUE"""),45103.0)</f>
        <v>45103</v>
      </c>
      <c r="M885" s="19" t="str">
        <f>IFERROR(__xludf.DUMMYFUNCTION("""COMPUTED_VALUE"""),"PP")</f>
        <v>PP</v>
      </c>
      <c r="N885" s="19" t="str">
        <f>IFERROR(__xludf.DUMMYFUNCTION("""COMPUTED_VALUE"""),"PRIORIDAD 1 Q3 2023 OCTUBRE")</f>
        <v>PRIORIDAD 1 Q3 2023 OCTUBRE</v>
      </c>
    </row>
    <row r="886" ht="15.75" customHeight="1">
      <c r="A886" s="19" t="str">
        <f>IFERROR(__xludf.DUMMYFUNCTION("""COMPUTED_VALUE"""),"AB_10094")</f>
        <v>AB_10094</v>
      </c>
      <c r="B886" s="19" t="str">
        <f>IFERROR(__xludf.DUMMYFUNCTION("""COMPUTED_VALUE"""),"AB_10094_A")</f>
        <v>AB_10094_A</v>
      </c>
      <c r="C886" s="19" t="str">
        <f>IFERROR(__xludf.DUMMYFUNCTION("""COMPUTED_VALUE"""),"TA10094")</f>
        <v>TA10094</v>
      </c>
      <c r="D886" s="19" t="str">
        <f>IFERROR(__xludf.DUMMYFUNCTION("""COMPUTED_VALUE"""),"Ruta 15 Cerro Blanco")</f>
        <v>Ruta 15 Cerro Blanco</v>
      </c>
      <c r="E886" s="19" t="str">
        <f>IFERROR(__xludf.DUMMYFUNCTION("""COMPUTED_VALUE"""),"SITIO RFC")</f>
        <v>SITIO RFC</v>
      </c>
      <c r="F886" s="19"/>
      <c r="G886" s="19" t="str">
        <f>IFERROR(__xludf.DUMMYFUNCTION("""COMPUTED_VALUE"""),"CV36")</f>
        <v>CV36</v>
      </c>
      <c r="H886" s="19" t="str">
        <f>IFERROR(__xludf.DUMMYFUNCTION("""COMPUTED_VALUE"""),"INCOSERV")</f>
        <v>INCOSERV</v>
      </c>
      <c r="I886" s="19" t="str">
        <f>IFERROR(__xludf.DUMMYFUNCTION("""COMPUTED_VALUE"""),"Terminada")</f>
        <v>Terminada</v>
      </c>
      <c r="J886" s="20">
        <f>IFERROR(__xludf.DUMMYFUNCTION("""COMPUTED_VALUE"""),45034.0)</f>
        <v>45034</v>
      </c>
      <c r="K886" s="19" t="str">
        <f>IFERROR(__xludf.DUMMYFUNCTION("""COMPUTED_VALUE"""),"Por pintar ")</f>
        <v>Por pintar </v>
      </c>
      <c r="L886" s="20">
        <f>IFERROR(__xludf.DUMMYFUNCTION("""COMPUTED_VALUE"""),45064.0)</f>
        <v>45064</v>
      </c>
      <c r="M886" s="19" t="str">
        <f>IFERROR(__xludf.DUMMYFUNCTION("""COMPUTED_VALUE"""),"PP")</f>
        <v>PP</v>
      </c>
      <c r="N886" s="19" t="str">
        <f>IFERROR(__xludf.DUMMYFUNCTION("""COMPUTED_VALUE"""),"PRIORIDAD 2 Q4 2023 DICIEMBRE")</f>
        <v>PRIORIDAD 2 Q4 2023 DICIEMBRE</v>
      </c>
    </row>
    <row r="887" ht="15.75" customHeight="1">
      <c r="A887" s="19" t="str">
        <f>IFERROR(__xludf.DUMMYFUNCTION("""COMPUTED_VALUE"""),"AB_10097")</f>
        <v>AB_10097</v>
      </c>
      <c r="B887" s="19" t="str">
        <f>IFERROR(__xludf.DUMMYFUNCTION("""COMPUTED_VALUE"""),"AB_10097_A")</f>
        <v>AB_10097_A</v>
      </c>
      <c r="C887" s="19" t="str">
        <f>IFERROR(__xludf.DUMMYFUNCTION("""COMPUTED_VALUE"""),"TA10097")</f>
        <v>TA10097</v>
      </c>
      <c r="D887" s="19" t="str">
        <f>IFERROR(__xludf.DUMMYFUNCTION("""COMPUTED_VALUE"""),"Ruta A685 vista Oriente")</f>
        <v>Ruta A685 vista Oriente</v>
      </c>
      <c r="E887" s="19" t="str">
        <f>IFERROR(__xludf.DUMMYFUNCTION("""COMPUTED_VALUE"""),"SITIO EN CONSTRUCCION")</f>
        <v>SITIO EN CONSTRUCCION</v>
      </c>
      <c r="F887" s="19" t="str">
        <f>IFERROR(__xludf.DUMMYFUNCTION("""COMPUTED_VALUE"""),"VISITA")</f>
        <v>VISITA</v>
      </c>
      <c r="G887" s="19" t="str">
        <f>IFERROR(__xludf.DUMMYFUNCTION("""COMPUTED_VALUE"""),"AS60")</f>
        <v>AS60</v>
      </c>
      <c r="H887" s="19" t="str">
        <f>IFERROR(__xludf.DUMMYFUNCTION("""COMPUTED_VALUE"""),"MER")</f>
        <v>MER</v>
      </c>
      <c r="I887" s="19" t="str">
        <f>IFERROR(__xludf.DUMMYFUNCTION("""COMPUTED_VALUE"""),"Terminada")</f>
        <v>Terminada</v>
      </c>
      <c r="J887" s="20">
        <f>IFERROR(__xludf.DUMMYFUNCTION("""COMPUTED_VALUE"""),44876.0)</f>
        <v>44876</v>
      </c>
      <c r="K887" s="19" t="str">
        <f>IFERROR(__xludf.DUMMYFUNCTION("""COMPUTED_VALUE"""),"Por pintar ")</f>
        <v>Por pintar </v>
      </c>
      <c r="L887" s="20">
        <f>IFERROR(__xludf.DUMMYFUNCTION("""COMPUTED_VALUE"""),44897.0)</f>
        <v>44897</v>
      </c>
      <c r="M887" s="19" t="str">
        <f>IFERROR(__xludf.DUMMYFUNCTION("""COMPUTED_VALUE"""),"PP")</f>
        <v>PP</v>
      </c>
      <c r="N887" s="19" t="str">
        <f>IFERROR(__xludf.DUMMYFUNCTION("""COMPUTED_VALUE"""),"PRIORIDAD 1 Q3 2023 OCTUBRE")</f>
        <v>PRIORIDAD 1 Q3 2023 OCTUBRE</v>
      </c>
    </row>
    <row r="888" ht="15.75" customHeight="1">
      <c r="A888" s="19" t="str">
        <f>IFERROR(__xludf.DUMMYFUNCTION("""COMPUTED_VALUE"""),"AB_10099")</f>
        <v>AB_10099</v>
      </c>
      <c r="B888" s="19" t="str">
        <f>IFERROR(__xludf.DUMMYFUNCTION("""COMPUTED_VALUE"""),"AB_10099_A")</f>
        <v>AB_10099_A</v>
      </c>
      <c r="C888" s="19" t="str">
        <f>IFERROR(__xludf.DUMMYFUNCTION("""COMPUTED_VALUE"""),"TA10099")</f>
        <v>TA10099</v>
      </c>
      <c r="D888" s="19" t="str">
        <f>IFERROR(__xludf.DUMMYFUNCTION("""COMPUTED_VALUE"""),"Ruta Huanca")</f>
        <v>Ruta Huanca</v>
      </c>
      <c r="E888" s="19" t="str">
        <f>IFERROR(__xludf.DUMMYFUNCTION("""COMPUTED_VALUE"""),"DETENIDO SAC")</f>
        <v>DETENIDO SAC</v>
      </c>
      <c r="F888" s="19"/>
      <c r="G888" s="19" t="str">
        <f>IFERROR(__xludf.DUMMYFUNCTION("""COMPUTED_VALUE"""),"CV60")</f>
        <v>CV60</v>
      </c>
      <c r="H888" s="19" t="str">
        <f>IFERROR(__xludf.DUMMYFUNCTION("""COMPUTED_VALUE"""),"")</f>
        <v/>
      </c>
      <c r="I888" s="19" t="str">
        <f>IFERROR(__xludf.DUMMYFUNCTION("""COMPUTED_VALUE"""),"")</f>
        <v/>
      </c>
      <c r="J888" s="20" t="str">
        <f>IFERROR(__xludf.DUMMYFUNCTION("""COMPUTED_VALUE"""),"")</f>
        <v/>
      </c>
      <c r="K888" s="19" t="str">
        <f>IFERROR(__xludf.DUMMYFUNCTION("""COMPUTED_VALUE"""),"")</f>
        <v/>
      </c>
      <c r="L888" s="20" t="str">
        <f>IFERROR(__xludf.DUMMYFUNCTION("""COMPUTED_VALUE"""),"")</f>
        <v/>
      </c>
      <c r="M888" s="19" t="str">
        <f>IFERROR(__xludf.DUMMYFUNCTION("""COMPUTED_VALUE"""),"PP")</f>
        <v>PP</v>
      </c>
      <c r="N888" s="19" t="str">
        <f>IFERROR(__xludf.DUMMYFUNCTION("""COMPUTED_VALUE"""),"PRIORIDAD 3 Q1 2024 MARZO")</f>
        <v>PRIORIDAD 3 Q1 2024 MARZO</v>
      </c>
    </row>
    <row r="889" ht="15.75" customHeight="1">
      <c r="A889" s="19" t="str">
        <f>IFERROR(__xludf.DUMMYFUNCTION("""COMPUTED_VALUE"""),"AB_10152")</f>
        <v>AB_10152</v>
      </c>
      <c r="B889" s="19" t="str">
        <f>IFERROR(__xludf.DUMMYFUNCTION("""COMPUTED_VALUE"""),"AB_10152_A")</f>
        <v>AB_10152_A</v>
      </c>
      <c r="C889" s="19" t="str">
        <f>IFERROR(__xludf.DUMMYFUNCTION("""COMPUTED_VALUE"""),"TA10152")</f>
        <v>TA10152</v>
      </c>
      <c r="D889" s="19" t="str">
        <f>IFERROR(__xludf.DUMMYFUNCTION("""COMPUTED_VALUE"""),"Iquique Aeropuerto Diego Aracena 2")</f>
        <v>Iquique Aeropuerto Diego Aracena 2</v>
      </c>
      <c r="E889" s="19" t="str">
        <f>IFERROR(__xludf.DUMMYFUNCTION("""COMPUTED_VALUE"""),"SITIO PENDIENTE")</f>
        <v>SITIO PENDIENTE</v>
      </c>
      <c r="F889" s="19"/>
      <c r="G889" s="19" t="str">
        <f>IFERROR(__xludf.DUMMYFUNCTION("""COMPUTED_VALUE"""),"x")</f>
        <v>x</v>
      </c>
      <c r="H889" s="19" t="str">
        <f>IFERROR(__xludf.DUMMYFUNCTION("""COMPUTED_VALUE"""),"x")</f>
        <v>x</v>
      </c>
      <c r="I889" s="19" t="str">
        <f>IFERROR(__xludf.DUMMYFUNCTION("""COMPUTED_VALUE"""),"x")</f>
        <v>x</v>
      </c>
      <c r="J889" s="20" t="str">
        <f>IFERROR(__xludf.DUMMYFUNCTION("""COMPUTED_VALUE"""),"x")</f>
        <v>x</v>
      </c>
      <c r="K889" s="19" t="str">
        <f>IFERROR(__xludf.DUMMYFUNCTION("""COMPUTED_VALUE"""),"x")</f>
        <v>x</v>
      </c>
      <c r="L889" s="20" t="str">
        <f>IFERROR(__xludf.DUMMYFUNCTION("""COMPUTED_VALUE"""),"x")</f>
        <v>x</v>
      </c>
      <c r="M889" s="19" t="str">
        <f>IFERROR(__xludf.DUMMYFUNCTION("""COMPUTED_VALUE"""),"PCM")</f>
        <v>PCM</v>
      </c>
      <c r="N889" s="19" t="str">
        <f>IFERROR(__xludf.DUMMYFUNCTION("""COMPUTED_VALUE"""),"PRIORIDAD 3 Q1 2024 MARZO")</f>
        <v>PRIORIDAD 3 Q1 2024 MARZO</v>
      </c>
    </row>
    <row r="890" ht="15.75" customHeight="1">
      <c r="A890" s="19" t="str">
        <f>IFERROR(__xludf.DUMMYFUNCTION("""COMPUTED_VALUE"""),"AB_10230")</f>
        <v>AB_10230</v>
      </c>
      <c r="B890" s="19" t="str">
        <f>IFERROR(__xludf.DUMMYFUNCTION("""COMPUTED_VALUE"""),"AB_10230_A")</f>
        <v>AB_10230_A</v>
      </c>
      <c r="C890" s="19" t="str">
        <f>IFERROR(__xludf.DUMMYFUNCTION("""COMPUTED_VALUE"""),"TA10230")</f>
        <v>TA10230</v>
      </c>
      <c r="D890" s="19" t="str">
        <f>IFERROR(__xludf.DUMMYFUNCTION("""COMPUTED_VALUE"""),"CIC Quebrata Tarapaca 2")</f>
        <v>CIC Quebrata Tarapaca 2</v>
      </c>
      <c r="E890" s="19" t="str">
        <f>IFERROR(__xludf.DUMMYFUNCTION("""COMPUTED_VALUE"""),"SITIO EN CONSTRUCCION")</f>
        <v>SITIO EN CONSTRUCCION</v>
      </c>
      <c r="F890" s="19" t="str">
        <f>IFERROR(__xludf.DUMMYFUNCTION("""COMPUTED_VALUE"""),"VISITA")</f>
        <v>VISITA</v>
      </c>
      <c r="G890" s="19" t="str">
        <f>IFERROR(__xludf.DUMMYFUNCTION("""COMPUTED_VALUE"""),"CV48")</f>
        <v>CV48</v>
      </c>
      <c r="H890" s="19" t="str">
        <f>IFERROR(__xludf.DUMMYFUNCTION("""COMPUTED_VALUE"""),"MER")</f>
        <v>MER</v>
      </c>
      <c r="I890" s="19" t="str">
        <f>IFERROR(__xludf.DUMMYFUNCTION("""COMPUTED_VALUE"""),"Terminada")</f>
        <v>Terminada</v>
      </c>
      <c r="J890" s="20">
        <f>IFERROR(__xludf.DUMMYFUNCTION("""COMPUTED_VALUE"""),45051.0)</f>
        <v>45051</v>
      </c>
      <c r="K890" s="19" t="str">
        <f>IFERROR(__xludf.DUMMYFUNCTION("""COMPUTED_VALUE"""),"Por pintar ")</f>
        <v>Por pintar </v>
      </c>
      <c r="L890" s="20">
        <f>IFERROR(__xludf.DUMMYFUNCTION("""COMPUTED_VALUE"""),45054.0)</f>
        <v>45054</v>
      </c>
      <c r="M890" s="19" t="str">
        <f>IFERROR(__xludf.DUMMYFUNCTION("""COMPUTED_VALUE"""),"PP")</f>
        <v>PP</v>
      </c>
      <c r="N890" s="19" t="str">
        <f>IFERROR(__xludf.DUMMYFUNCTION("""COMPUTED_VALUE"""),"PRIORIDAD 2 Q4 2023 DICIEMBRE")</f>
        <v>PRIORIDAD 2 Q4 2023 DICIEMBRE</v>
      </c>
    </row>
    <row r="891" ht="15.75" customHeight="1">
      <c r="A891" s="19" t="str">
        <f>IFERROR(__xludf.DUMMYFUNCTION("""COMPUTED_VALUE"""),"AB_10246")</f>
        <v>AB_10246</v>
      </c>
      <c r="B891" s="19" t="str">
        <f>IFERROR(__xludf.DUMMYFUNCTION("""COMPUTED_VALUE"""),"AB_10246_A")</f>
        <v>AB_10246_A</v>
      </c>
      <c r="C891" s="19" t="str">
        <f>IFERROR(__xludf.DUMMYFUNCTION("""COMPUTED_VALUE"""),"TA10246")</f>
        <v>TA10246</v>
      </c>
      <c r="D891" s="19" t="str">
        <f>IFERROR(__xludf.DUMMYFUNCTION("""COMPUTED_VALUE"""),"Aeropuerto Internacional Diego Aracena_3_5G")</f>
        <v>Aeropuerto Internacional Diego Aracena_3_5G</v>
      </c>
      <c r="E891" s="19" t="str">
        <f>IFERROR(__xludf.DUMMYFUNCTION("""COMPUTED_VALUE"""),"SITIO PENDIENTE")</f>
        <v>SITIO PENDIENTE</v>
      </c>
      <c r="F891" s="19"/>
      <c r="G891" s="19" t="str">
        <f>IFERROR(__xludf.DUMMYFUNCTION("""COMPUTED_VALUE"""),"CV24")</f>
        <v>CV24</v>
      </c>
      <c r="H891" s="19" t="str">
        <f>IFERROR(__xludf.DUMMYFUNCTION("""COMPUTED_VALUE"""),"COMPRAS")</f>
        <v>COMPRAS</v>
      </c>
      <c r="I891" s="19"/>
      <c r="J891" s="19"/>
      <c r="K891" s="19"/>
      <c r="L891" s="19"/>
      <c r="M891" s="19" t="str">
        <f>IFERROR(__xludf.DUMMYFUNCTION("""COMPUTED_VALUE"""),"PCM")</f>
        <v>PCM</v>
      </c>
      <c r="N891" s="19" t="str">
        <f>IFERROR(__xludf.DUMMYFUNCTION("""COMPUTED_VALUE"""),"PRIORIDAD 3 Q1 2024 MARZO")</f>
        <v>PRIORIDAD 3 Q1 2024 MARZO</v>
      </c>
    </row>
    <row r="892" ht="15.75" customHeight="1">
      <c r="A892" s="19" t="str">
        <f>IFERROR(__xludf.DUMMYFUNCTION("""COMPUTED_VALUE"""),"AB_10278")</f>
        <v>AB_10278</v>
      </c>
      <c r="B892" s="19" t="str">
        <f>IFERROR(__xludf.DUMMYFUNCTION("""COMPUTED_VALUE"""),"AB_10278_B")</f>
        <v>AB_10278_B</v>
      </c>
      <c r="C892" s="19" t="str">
        <f>IFERROR(__xludf.DUMMYFUNCTION("""COMPUTED_VALUE"""),"TA10278")</f>
        <v>TA10278</v>
      </c>
      <c r="D892" s="19" t="str">
        <f>IFERROR(__xludf.DUMMYFUNCTION("""COMPUTED_VALUE"""),"CIC Quebrata Tarapaca")</f>
        <v>CIC Quebrata Tarapaca</v>
      </c>
      <c r="E892" s="19" t="str">
        <f>IFERROR(__xludf.DUMMYFUNCTION("""COMPUTED_VALUE"""),"SITIO PENDIENTE")</f>
        <v>SITIO PENDIENTE</v>
      </c>
      <c r="F892" s="19"/>
      <c r="G892" s="19" t="str">
        <f>IFERROR(__xludf.DUMMYFUNCTION("""COMPUTED_VALUE"""),"x")</f>
        <v>x</v>
      </c>
      <c r="H892" s="19" t="str">
        <f>IFERROR(__xludf.DUMMYFUNCTION("""COMPUTED_VALUE"""),"x")</f>
        <v>x</v>
      </c>
      <c r="I892" s="19" t="str">
        <f>IFERROR(__xludf.DUMMYFUNCTION("""COMPUTED_VALUE"""),"x")</f>
        <v>x</v>
      </c>
      <c r="J892" s="20" t="str">
        <f>IFERROR(__xludf.DUMMYFUNCTION("""COMPUTED_VALUE"""),"x")</f>
        <v>x</v>
      </c>
      <c r="K892" s="19" t="str">
        <f>IFERROR(__xludf.DUMMYFUNCTION("""COMPUTED_VALUE"""),"x")</f>
        <v>x</v>
      </c>
      <c r="L892" s="20" t="str">
        <f>IFERROR(__xludf.DUMMYFUNCTION("""COMPUTED_VALUE"""),"x")</f>
        <v>x</v>
      </c>
      <c r="M892" s="19" t="str">
        <f>IFERROR(__xludf.DUMMYFUNCTION("""COMPUTED_VALUE"""),"PP")</f>
        <v>PP</v>
      </c>
      <c r="N892" s="19" t="str">
        <f>IFERROR(__xludf.DUMMYFUNCTION("""COMPUTED_VALUE"""),"PRIORIDAD 3 Q1 2024 MARZO")</f>
        <v>PRIORIDAD 3 Q1 2024 MARZO</v>
      </c>
    </row>
    <row r="893" ht="15.75" customHeight="1">
      <c r="A893" s="19" t="str">
        <f>IFERROR(__xludf.DUMMYFUNCTION("""COMPUTED_VALUE"""),"AB_11139")</f>
        <v>AB_11139</v>
      </c>
      <c r="B893" s="19" t="str">
        <f>IFERROR(__xludf.DUMMYFUNCTION("""COMPUTED_VALUE"""),"AB_11139_A")</f>
        <v>AB_11139_A</v>
      </c>
      <c r="C893" s="19" t="str">
        <f>IFERROR(__xludf.DUMMYFUNCTION("""COMPUTED_VALUE"""),"TA11139")</f>
        <v>TA11139</v>
      </c>
      <c r="D893" s="19" t="str">
        <f>IFERROR(__xludf.DUMMYFUNCTION("""COMPUTED_VALUE"""),"RPT Cerro Tapa")</f>
        <v>RPT Cerro Tapa</v>
      </c>
      <c r="E893" s="19" t="str">
        <f>IFERROR(__xludf.DUMMYFUNCTION("""COMPUTED_VALUE"""),"DETENIDO COMPRA ESTRUCTURA")</f>
        <v>DETENIDO COMPRA ESTRUCTURA</v>
      </c>
      <c r="F893" s="19"/>
      <c r="G893" s="19" t="str">
        <f>IFERROR(__xludf.DUMMYFUNCTION("""COMPUTED_VALUE"""),"AS60 E")</f>
        <v>AS60 E</v>
      </c>
      <c r="H893" s="19" t="str">
        <f>IFERROR(__xludf.DUMMYFUNCTION("""COMPUTED_VALUE"""),"COMPRAS")</f>
        <v>COMPRAS</v>
      </c>
      <c r="I893" s="19"/>
      <c r="J893" s="19"/>
      <c r="K893" s="19"/>
      <c r="L893" s="19"/>
      <c r="M893" s="19" t="str">
        <f>IFERROR(__xludf.DUMMYFUNCTION("""COMPUTED_VALUE"""),"PCM_3")</f>
        <v>PCM_3</v>
      </c>
      <c r="N893" s="19" t="str">
        <f>IFERROR(__xludf.DUMMYFUNCTION("""COMPUTED_VALUE"""),"PRIORIDAD 3 Q1 2024 MARZO")</f>
        <v>PRIORIDAD 3 Q1 2024 MARZO</v>
      </c>
    </row>
    <row r="894" ht="15.75" customHeight="1">
      <c r="A894" s="19" t="str">
        <f>IFERROR(__xludf.DUMMYFUNCTION("""COMPUTED_VALUE"""),"AB_11140")</f>
        <v>AB_11140</v>
      </c>
      <c r="B894" s="19" t="str">
        <f>IFERROR(__xludf.DUMMYFUNCTION("""COMPUTED_VALUE"""),"AB_11140_A")</f>
        <v>AB_11140_A</v>
      </c>
      <c r="C894" s="19" t="str">
        <f>IFERROR(__xludf.DUMMYFUNCTION("""COMPUTED_VALUE"""),"TA11140")</f>
        <v>TA11140</v>
      </c>
      <c r="D894" s="19" t="str">
        <f>IFERROR(__xludf.DUMMYFUNCTION("""COMPUTED_VALUE"""),"RPT Puchuldiza")</f>
        <v>RPT Puchuldiza</v>
      </c>
      <c r="E894" s="19" t="str">
        <f>IFERROR(__xludf.DUMMYFUNCTION("""COMPUTED_VALUE"""),"DETENIDO COMPRA ESTRUCTURA")</f>
        <v>DETENIDO COMPRA ESTRUCTURA</v>
      </c>
      <c r="F894" s="19"/>
      <c r="G894" s="19" t="str">
        <f>IFERROR(__xludf.DUMMYFUNCTION("""COMPUTED_VALUE"""),"AS48 (E)")</f>
        <v>AS48 (E)</v>
      </c>
      <c r="H894" s="19" t="str">
        <f>IFERROR(__xludf.DUMMYFUNCTION("""COMPUTED_VALUE"""),"COMPRAS")</f>
        <v>COMPRAS</v>
      </c>
      <c r="I894" s="19"/>
      <c r="J894" s="19"/>
      <c r="K894" s="19"/>
      <c r="L894" s="19"/>
      <c r="M894" s="19" t="str">
        <f>IFERROR(__xludf.DUMMYFUNCTION("""COMPUTED_VALUE"""),"PCM_3")</f>
        <v>PCM_3</v>
      </c>
      <c r="N894" s="19" t="str">
        <f>IFERROR(__xludf.DUMMYFUNCTION("""COMPUTED_VALUE"""),"PRIORIDAD 3 Q1 2024 MARZO")</f>
        <v>PRIORIDAD 3 Q1 2024 MARZO</v>
      </c>
    </row>
    <row r="895" ht="15.75" customHeight="1">
      <c r="A895" s="19" t="str">
        <f>IFERROR(__xludf.DUMMYFUNCTION("""COMPUTED_VALUE"""),"AB_2159")</f>
        <v>AB_2159</v>
      </c>
      <c r="B895" s="19" t="str">
        <f>IFERROR(__xludf.DUMMYFUNCTION("""COMPUTED_VALUE"""),"AB_2159_B")</f>
        <v>AB_2159_B</v>
      </c>
      <c r="C895" s="19" t="str">
        <f>IFERROR(__xludf.DUMMYFUNCTION("""COMPUTED_VALUE"""),"TA2159")</f>
        <v>TA2159</v>
      </c>
      <c r="D895" s="19" t="str">
        <f>IFERROR(__xludf.DUMMYFUNCTION("""COMPUTED_VALUE"""),"Cerro Huara")</f>
        <v>Cerro Huara</v>
      </c>
      <c r="E895" s="19" t="str">
        <f>IFERROR(__xludf.DUMMYFUNCTION("""COMPUTED_VALUE"""),"SITIO RFI")</f>
        <v>SITIO RFI</v>
      </c>
      <c r="F895" s="19" t="str">
        <f>IFERROR(__xludf.DUMMYFUNCTION("""COMPUTED_VALUE"""),"RFI")</f>
        <v>RFI</v>
      </c>
      <c r="G895" s="19" t="str">
        <f>IFERROR(__xludf.DUMMYFUNCTION("""COMPUTED_VALUE"""),"CV24")</f>
        <v>CV24</v>
      </c>
      <c r="H895" s="19" t="str">
        <f>IFERROR(__xludf.DUMMYFUNCTION("""COMPUTED_VALUE"""),"MT")</f>
        <v>MT</v>
      </c>
      <c r="I895" s="19" t="str">
        <f>IFERROR(__xludf.DUMMYFUNCTION("""COMPUTED_VALUE"""),"Entregada")</f>
        <v>Entregada</v>
      </c>
      <c r="J895" s="20">
        <f>IFERROR(__xludf.DUMMYFUNCTION("""COMPUTED_VALUE"""),44578.0)</f>
        <v>44578</v>
      </c>
      <c r="K895" s="19" t="str">
        <f>IFERROR(__xludf.DUMMYFUNCTION("""COMPUTED_VALUE"""),"Entregada")</f>
        <v>Entregada</v>
      </c>
      <c r="L895" s="20">
        <f>IFERROR(__xludf.DUMMYFUNCTION("""COMPUTED_VALUE"""),44578.0)</f>
        <v>44578</v>
      </c>
      <c r="M895" s="19" t="str">
        <f>IFERROR(__xludf.DUMMYFUNCTION("""COMPUTED_VALUE"""),"PCM")</f>
        <v>PCM</v>
      </c>
      <c r="N895" s="19" t="str">
        <f>IFERROR(__xludf.DUMMYFUNCTION("""COMPUTED_VALUE"""),"PRIORIDAD 1 Q3 2023 OCTUBRE")</f>
        <v>PRIORIDAD 1 Q3 2023 OCTUBRE</v>
      </c>
    </row>
    <row r="896" ht="15.75" customHeight="1">
      <c r="A896" s="19" t="str">
        <f>IFERROR(__xludf.DUMMYFUNCTION("""COMPUTED_VALUE"""),"AB_2176")</f>
        <v>AB_2176</v>
      </c>
      <c r="B896" s="19" t="str">
        <f>IFERROR(__xludf.DUMMYFUNCTION("""COMPUTED_VALUE"""),"AB_2176_A")</f>
        <v>AB_2176_A</v>
      </c>
      <c r="C896" s="19" t="str">
        <f>IFERROR(__xludf.DUMMYFUNCTION("""COMPUTED_VALUE"""),"TA2176")</f>
        <v>TA2176</v>
      </c>
      <c r="D896" s="19" t="str">
        <f>IFERROR(__xludf.DUMMYFUNCTION("""COMPUTED_VALUE"""),"Oficina Nueva Victoria SQM")</f>
        <v>Oficina Nueva Victoria SQM</v>
      </c>
      <c r="E896" s="19" t="str">
        <f>IFERROR(__xludf.DUMMYFUNCTION("""COMPUTED_VALUE"""),"SITIO RFI")</f>
        <v>SITIO RFI</v>
      </c>
      <c r="F896" s="19" t="str">
        <f>IFERROR(__xludf.DUMMYFUNCTION("""COMPUTED_VALUE"""),"RFI")</f>
        <v>RFI</v>
      </c>
      <c r="G896" s="19" t="str">
        <f>IFERROR(__xludf.DUMMYFUNCTION("""COMPUTED_VALUE"""),"CV60")</f>
        <v>CV60</v>
      </c>
      <c r="H896" s="19" t="str">
        <f>IFERROR(__xludf.DUMMYFUNCTION("""COMPUTED_VALUE"""),"DEPROMET")</f>
        <v>DEPROMET</v>
      </c>
      <c r="I896" s="19" t="str">
        <f>IFERROR(__xludf.DUMMYFUNCTION("""COMPUTED_VALUE"""),"Entregada")</f>
        <v>Entregada</v>
      </c>
      <c r="J896" s="20">
        <f>IFERROR(__xludf.DUMMYFUNCTION("""COMPUTED_VALUE"""),45001.0)</f>
        <v>45001</v>
      </c>
      <c r="K896" s="19" t="str">
        <f>IFERROR(__xludf.DUMMYFUNCTION("""COMPUTED_VALUE"""),"Entregada")</f>
        <v>Entregada</v>
      </c>
      <c r="L896" s="20">
        <f>IFERROR(__xludf.DUMMYFUNCTION("""COMPUTED_VALUE"""),45037.0)</f>
        <v>45037</v>
      </c>
      <c r="M896" s="19" t="str">
        <f>IFERROR(__xludf.DUMMYFUNCTION("""COMPUTED_VALUE"""),"PP")</f>
        <v>PP</v>
      </c>
      <c r="N896" s="19" t="str">
        <f>IFERROR(__xludf.DUMMYFUNCTION("""COMPUTED_VALUE"""),"PRIORIDAD 2 Q4 2023 DICIEMBRE")</f>
        <v>PRIORIDAD 2 Q4 2023 DICIEMBRE</v>
      </c>
    </row>
    <row r="897" ht="15.75" customHeight="1">
      <c r="A897" s="19" t="str">
        <f>IFERROR(__xludf.DUMMYFUNCTION("""COMPUTED_VALUE"""),"AB_2798")</f>
        <v>AB_2798</v>
      </c>
      <c r="B897" s="19" t="str">
        <f>IFERROR(__xludf.DUMMYFUNCTION("""COMPUTED_VALUE"""),"AB_2798_B")</f>
        <v>AB_2798_B</v>
      </c>
      <c r="C897" s="19" t="str">
        <f>IFERROR(__xludf.DUMMYFUNCTION("""COMPUTED_VALUE"""),"TA2798")</f>
        <v>TA2798</v>
      </c>
      <c r="D897" s="19" t="str">
        <f>IFERROR(__xludf.DUMMYFUNCTION("""COMPUTED_VALUE"""),"Punta Patache")</f>
        <v>Punta Patache</v>
      </c>
      <c r="E897" s="19" t="str">
        <f>IFERROR(__xludf.DUMMYFUNCTION("""COMPUTED_VALUE"""),"SITIO EN CONSTRUCCION")</f>
        <v>SITIO EN CONSTRUCCION</v>
      </c>
      <c r="F897" s="19" t="str">
        <f>IFERROR(__xludf.DUMMYFUNCTION("""COMPUTED_VALUE"""),"ENFIERRADURA")</f>
        <v>ENFIERRADURA</v>
      </c>
      <c r="G897" s="19" t="str">
        <f>IFERROR(__xludf.DUMMYFUNCTION("""COMPUTED_VALUE"""),"AS48")</f>
        <v>AS48</v>
      </c>
      <c r="H897" s="19" t="str">
        <f>IFERROR(__xludf.DUMMYFUNCTION("""COMPUTED_VALUE"""),"ADM")</f>
        <v>ADM</v>
      </c>
      <c r="I897" s="19" t="str">
        <f>IFERROR(__xludf.DUMMYFUNCTION("""COMPUTED_VALUE"""),"Terminada")</f>
        <v>Terminada</v>
      </c>
      <c r="J897" s="20">
        <f>IFERROR(__xludf.DUMMYFUNCTION("""COMPUTED_VALUE"""),44750.0)</f>
        <v>44750</v>
      </c>
      <c r="K897" s="19" t="str">
        <f>IFERROR(__xludf.DUMMYFUNCTION("""COMPUTED_VALUE"""),"Terminada")</f>
        <v>Terminada</v>
      </c>
      <c r="L897" s="20">
        <f>IFERROR(__xludf.DUMMYFUNCTION("""COMPUTED_VALUE"""),44785.0)</f>
        <v>44785</v>
      </c>
      <c r="M897" s="19" t="str">
        <f>IFERROR(__xludf.DUMMYFUNCTION("""COMPUTED_VALUE"""),"PP")</f>
        <v>PP</v>
      </c>
      <c r="N897" s="19" t="str">
        <f>IFERROR(__xludf.DUMMYFUNCTION("""COMPUTED_VALUE"""),"PRIORIDAD 1 Q3 2023 OCTUBRE")</f>
        <v>PRIORIDAD 1 Q3 2023 OCTUBRE</v>
      </c>
    </row>
    <row r="898" ht="15.75" customHeight="1">
      <c r="A898" s="19" t="str">
        <f>IFERROR(__xludf.DUMMYFUNCTION("""COMPUTED_VALUE"""),"AB_2801")</f>
        <v>AB_2801</v>
      </c>
      <c r="B898" s="19" t="str">
        <f>IFERROR(__xludf.DUMMYFUNCTION("""COMPUTED_VALUE"""),"AB_2801_C")</f>
        <v>AB_2801_C</v>
      </c>
      <c r="C898" s="19" t="str">
        <f>IFERROR(__xludf.DUMMYFUNCTION("""COMPUTED_VALUE"""),"TA2801")</f>
        <v>TA2801</v>
      </c>
      <c r="D898" s="19" t="str">
        <f>IFERROR(__xludf.DUMMYFUNCTION("""COMPUTED_VALUE"""),"Punta Patillos")</f>
        <v>Punta Patillos</v>
      </c>
      <c r="E898" s="19" t="str">
        <f>IFERROR(__xludf.DUMMYFUNCTION("""COMPUTED_VALUE"""),"SITIO RFI")</f>
        <v>SITIO RFI</v>
      </c>
      <c r="F898" s="19" t="str">
        <f>IFERROR(__xludf.DUMMYFUNCTION("""COMPUTED_VALUE"""),"RFI")</f>
        <v>RFI</v>
      </c>
      <c r="G898" s="19" t="str">
        <f>IFERROR(__xludf.DUMMYFUNCTION("""COMPUTED_VALUE"""),"AS60")</f>
        <v>AS60</v>
      </c>
      <c r="H898" s="19" t="str">
        <f>IFERROR(__xludf.DUMMYFUNCTION("""COMPUTED_VALUE"""),"MER")</f>
        <v>MER</v>
      </c>
      <c r="I898" s="19" t="str">
        <f>IFERROR(__xludf.DUMMYFUNCTION("""COMPUTED_VALUE"""),"Entregada")</f>
        <v>Entregada</v>
      </c>
      <c r="J898" s="20">
        <f>IFERROR(__xludf.DUMMYFUNCTION("""COMPUTED_VALUE"""),44876.0)</f>
        <v>44876</v>
      </c>
      <c r="K898" s="19" t="str">
        <f>IFERROR(__xludf.DUMMYFUNCTION("""COMPUTED_VALUE"""),"Entregada")</f>
        <v>Entregada</v>
      </c>
      <c r="L898" s="20">
        <f>IFERROR(__xludf.DUMMYFUNCTION("""COMPUTED_VALUE"""),44904.0)</f>
        <v>44904</v>
      </c>
      <c r="M898" s="19" t="str">
        <f>IFERROR(__xludf.DUMMYFUNCTION("""COMPUTED_VALUE"""),"PP")</f>
        <v>PP</v>
      </c>
      <c r="N898" s="19" t="str">
        <f>IFERROR(__xludf.DUMMYFUNCTION("""COMPUTED_VALUE"""),"PRIORIDAD 1 Q3 2023 OCTUBRE")</f>
        <v>PRIORIDAD 1 Q3 2023 OCTUBRE</v>
      </c>
    </row>
    <row r="899" ht="15.75" customHeight="1">
      <c r="A899" s="19" t="str">
        <f>IFERROR(__xludf.DUMMYFUNCTION("""COMPUTED_VALUE"""),"AB_3363")</f>
        <v>AB_3363</v>
      </c>
      <c r="B899" s="19" t="str">
        <f>IFERROR(__xludf.DUMMYFUNCTION("""COMPUTED_VALUE"""),"AB_3363_B")</f>
        <v>AB_3363_B</v>
      </c>
      <c r="C899" s="19" t="str">
        <f>IFERROR(__xludf.DUMMYFUNCTION("""COMPUTED_VALUE"""),"TA3363")</f>
        <v>TA3363</v>
      </c>
      <c r="D899" s="19" t="str">
        <f>IFERROR(__xludf.DUMMYFUNCTION("""COMPUTED_VALUE"""),"Colchane")</f>
        <v>Colchane</v>
      </c>
      <c r="E899" s="19" t="str">
        <f>IFERROR(__xludf.DUMMYFUNCTION("""COMPUTED_VALUE"""),"SITIO EN CONSTRUCCION")</f>
        <v>SITIO EN CONSTRUCCION</v>
      </c>
      <c r="F899" s="19" t="str">
        <f>IFERROR(__xludf.DUMMYFUNCTION("""COMPUTED_VALUE"""),"ENFIERRADURA")</f>
        <v>ENFIERRADURA</v>
      </c>
      <c r="G899" s="19" t="str">
        <f>IFERROR(__xludf.DUMMYFUNCTION("""COMPUTED_VALUE"""),"AS36")</f>
        <v>AS36</v>
      </c>
      <c r="H899" s="19" t="str">
        <f>IFERROR(__xludf.DUMMYFUNCTION("""COMPUTED_VALUE"""),"JTI")</f>
        <v>JTI</v>
      </c>
      <c r="I899" s="19" t="str">
        <f>IFERROR(__xludf.DUMMYFUNCTION("""COMPUTED_VALUE"""),"Entregada")</f>
        <v>Entregada</v>
      </c>
      <c r="J899" s="20">
        <f>IFERROR(__xludf.DUMMYFUNCTION("""COMPUTED_VALUE"""),45034.0)</f>
        <v>45034</v>
      </c>
      <c r="K899" s="19" t="str">
        <f>IFERROR(__xludf.DUMMYFUNCTION("""COMPUTED_VALUE"""),"Entregada")</f>
        <v>Entregada</v>
      </c>
      <c r="L899" s="20">
        <f>IFERROR(__xludf.DUMMYFUNCTION("""COMPUTED_VALUE"""),45037.0)</f>
        <v>45037</v>
      </c>
      <c r="M899" s="19" t="str">
        <f>IFERROR(__xludf.DUMMYFUNCTION("""COMPUTED_VALUE"""),"PP")</f>
        <v>PP</v>
      </c>
      <c r="N899" s="19" t="str">
        <f>IFERROR(__xludf.DUMMYFUNCTION("""COMPUTED_VALUE"""),"PRIORIDAD 1 Q3 2023 OCTUBRE")</f>
        <v>PRIORIDAD 1 Q3 2023 OCTUBRE</v>
      </c>
    </row>
    <row r="900" ht="15.75" customHeight="1">
      <c r="A900" s="19" t="str">
        <f>IFERROR(__xludf.DUMMYFUNCTION("""COMPUTED_VALUE"""),"AB_4646")</f>
        <v>AB_4646</v>
      </c>
      <c r="B900" s="19" t="str">
        <f>IFERROR(__xludf.DUMMYFUNCTION("""COMPUTED_VALUE"""),"AB_4646_E")</f>
        <v>AB_4646_E</v>
      </c>
      <c r="C900" s="19" t="str">
        <f>IFERROR(__xludf.DUMMYFUNCTION("""COMPUTED_VALUE"""),"TA4646")</f>
        <v>TA4646</v>
      </c>
      <c r="D900" s="19" t="str">
        <f>IFERROR(__xludf.DUMMYFUNCTION("""COMPUTED_VALUE"""),"Iquique Rio Seco")</f>
        <v>Iquique Rio Seco</v>
      </c>
      <c r="E900" s="19" t="str">
        <f>IFERROR(__xludf.DUMMYFUNCTION("""COMPUTED_VALUE"""),"SITIO RFI")</f>
        <v>SITIO RFI</v>
      </c>
      <c r="F900" s="19" t="str">
        <f>IFERROR(__xludf.DUMMYFUNCTION("""COMPUTED_VALUE"""),"CIERRE")</f>
        <v>CIERRE</v>
      </c>
      <c r="G900" s="19" t="str">
        <f>IFERROR(__xludf.DUMMYFUNCTION("""COMPUTED_VALUE"""),"AS60")</f>
        <v>AS60</v>
      </c>
      <c r="H900" s="19" t="str">
        <f>IFERROR(__xludf.DUMMYFUNCTION("""COMPUTED_VALUE"""),"ADM")</f>
        <v>ADM</v>
      </c>
      <c r="I900" s="19" t="str">
        <f>IFERROR(__xludf.DUMMYFUNCTION("""COMPUTED_VALUE"""),"Terminada")</f>
        <v>Terminada</v>
      </c>
      <c r="J900" s="20">
        <f>IFERROR(__xludf.DUMMYFUNCTION("""COMPUTED_VALUE"""),44750.0)</f>
        <v>44750</v>
      </c>
      <c r="K900" s="19" t="str">
        <f>IFERROR(__xludf.DUMMYFUNCTION("""COMPUTED_VALUE"""),"Terminada")</f>
        <v>Terminada</v>
      </c>
      <c r="L900" s="20">
        <f>IFERROR(__xludf.DUMMYFUNCTION("""COMPUTED_VALUE"""),44890.0)</f>
        <v>44890</v>
      </c>
      <c r="M900" s="19" t="str">
        <f>IFERROR(__xludf.DUMMYFUNCTION("""COMPUTED_VALUE"""),"PP")</f>
        <v>PP</v>
      </c>
      <c r="N900" s="19" t="str">
        <f>IFERROR(__xludf.DUMMYFUNCTION("""COMPUTED_VALUE"""),"PRIORIDAD 2 Q4 2023 DICIEMBRE")</f>
        <v>PRIORIDAD 2 Q4 2023 DICIEMBRE</v>
      </c>
    </row>
    <row r="901" ht="15.75" customHeight="1">
      <c r="A901" s="19" t="str">
        <f>IFERROR(__xludf.DUMMYFUNCTION("""COMPUTED_VALUE"""),"AB_7377")</f>
        <v>AB_7377</v>
      </c>
      <c r="B901" s="19" t="str">
        <f>IFERROR(__xludf.DUMMYFUNCTION("""COMPUTED_VALUE"""),"AB_7377_D")</f>
        <v>AB_7377_D</v>
      </c>
      <c r="C901" s="19" t="str">
        <f>IFERROR(__xludf.DUMMYFUNCTION("""COMPUTED_VALUE"""),"TA7377")</f>
        <v>TA7377</v>
      </c>
      <c r="D901" s="19" t="str">
        <f>IFERROR(__xludf.DUMMYFUNCTION("""COMPUTED_VALUE"""),"Punta Gruesa Nuevo")</f>
        <v>Punta Gruesa Nuevo</v>
      </c>
      <c r="E901" s="19" t="str">
        <f>IFERROR(__xludf.DUMMYFUNCTION("""COMPUTED_VALUE"""),"SITIO RFI")</f>
        <v>SITIO RFI</v>
      </c>
      <c r="F901" s="19" t="str">
        <f>IFERROR(__xludf.DUMMYFUNCTION("""COMPUTED_VALUE"""),"RFI")</f>
        <v>RFI</v>
      </c>
      <c r="G901" s="19" t="str">
        <f>IFERROR(__xludf.DUMMYFUNCTION("""COMPUTED_VALUE"""),"CV72")</f>
        <v>CV72</v>
      </c>
      <c r="H901" s="19" t="str">
        <f>IFERROR(__xludf.DUMMYFUNCTION("""COMPUTED_VALUE"""),"DEITEL")</f>
        <v>DEITEL</v>
      </c>
      <c r="I901" s="19" t="str">
        <f>IFERROR(__xludf.DUMMYFUNCTION("""COMPUTED_VALUE"""),"Entregada")</f>
        <v>Entregada</v>
      </c>
      <c r="J901" s="20">
        <f>IFERROR(__xludf.DUMMYFUNCTION("""COMPUTED_VALUE"""),44890.0)</f>
        <v>44890</v>
      </c>
      <c r="K901" s="19" t="str">
        <f>IFERROR(__xludf.DUMMYFUNCTION("""COMPUTED_VALUE"""),"Entregada")</f>
        <v>Entregada</v>
      </c>
      <c r="L901" s="20">
        <f>IFERROR(__xludf.DUMMYFUNCTION("""COMPUTED_VALUE"""),44967.0)</f>
        <v>44967</v>
      </c>
      <c r="M901" s="19" t="str">
        <f>IFERROR(__xludf.DUMMYFUNCTION("""COMPUTED_VALUE"""),"PCM")</f>
        <v>PCM</v>
      </c>
      <c r="N901" s="19" t="str">
        <f>IFERROR(__xludf.DUMMYFUNCTION("""COMPUTED_VALUE"""),"PRIORIDAD 2 Q4 2023 DICIEMBRE")</f>
        <v>PRIORIDAD 2 Q4 2023 DICIEMBRE</v>
      </c>
    </row>
    <row r="902" ht="15.75" customHeight="1">
      <c r="A902" s="19" t="str">
        <f>IFERROR(__xludf.DUMMYFUNCTION("""COMPUTED_VALUE"""),"AB_9798")</f>
        <v>AB_9798</v>
      </c>
      <c r="B902" s="19" t="str">
        <f>IFERROR(__xludf.DUMMYFUNCTION("""COMPUTED_VALUE"""),"AB_9798_A")</f>
        <v>AB_9798_A</v>
      </c>
      <c r="C902" s="19" t="str">
        <f>IFERROR(__xludf.DUMMYFUNCTION("""COMPUTED_VALUE"""),"TA9798")</f>
        <v>TA9798</v>
      </c>
      <c r="D902" s="19" t="str">
        <f>IFERROR(__xludf.DUMMYFUNCTION("""COMPUTED_VALUE"""),"Calatambo ")</f>
        <v>Calatambo </v>
      </c>
      <c r="E902" s="19" t="str">
        <f>IFERROR(__xludf.DUMMYFUNCTION("""COMPUTED_VALUE"""),"SITIO RFI")</f>
        <v>SITIO RFI</v>
      </c>
      <c r="F902" s="19" t="str">
        <f>IFERROR(__xludf.DUMMYFUNCTION("""COMPUTED_VALUE"""),"RFI")</f>
        <v>RFI</v>
      </c>
      <c r="G902" s="19" t="str">
        <f>IFERROR(__xludf.DUMMYFUNCTION("""COMPUTED_VALUE"""),"AS60")</f>
        <v>AS60</v>
      </c>
      <c r="H902" s="19" t="str">
        <f>IFERROR(__xludf.DUMMYFUNCTION("""COMPUTED_VALUE"""),"MER")</f>
        <v>MER</v>
      </c>
      <c r="I902" s="19" t="str">
        <f>IFERROR(__xludf.DUMMYFUNCTION("""COMPUTED_VALUE"""),"Entregada")</f>
        <v>Entregada</v>
      </c>
      <c r="J902" s="20">
        <f>IFERROR(__xludf.DUMMYFUNCTION("""COMPUTED_VALUE"""),44862.0)</f>
        <v>44862</v>
      </c>
      <c r="K902" s="19" t="str">
        <f>IFERROR(__xludf.DUMMYFUNCTION("""COMPUTED_VALUE"""),"Entregada")</f>
        <v>Entregada</v>
      </c>
      <c r="L902" s="20">
        <f>IFERROR(__xludf.DUMMYFUNCTION("""COMPUTED_VALUE"""),44876.0)</f>
        <v>44876</v>
      </c>
      <c r="M902" s="19" t="str">
        <f>IFERROR(__xludf.DUMMYFUNCTION("""COMPUTED_VALUE"""),"LLOO")</f>
        <v>LLOO</v>
      </c>
      <c r="N902" s="19" t="str">
        <f>IFERROR(__xludf.DUMMYFUNCTION("""COMPUTED_VALUE"""),"PRIORIDAD 2 Q4 2023 DICIEMBRE")</f>
        <v>PRIORIDAD 2 Q4 2023 DICIEMBRE</v>
      </c>
    </row>
    <row r="903" ht="15.75" customHeight="1">
      <c r="A903" s="19" t="str">
        <f>IFERROR(__xludf.DUMMYFUNCTION("""COMPUTED_VALUE"""),"AB_9818")</f>
        <v>AB_9818</v>
      </c>
      <c r="B903" s="19" t="str">
        <f>IFERROR(__xludf.DUMMYFUNCTION("""COMPUTED_VALUE"""),"AB_9818_A")</f>
        <v>AB_9818_A</v>
      </c>
      <c r="C903" s="19" t="str">
        <f>IFERROR(__xludf.DUMMYFUNCTION("""COMPUTED_VALUE"""),"TA9818")</f>
        <v>TA9818</v>
      </c>
      <c r="D903" s="19" t="str">
        <f>IFERROR(__xludf.DUMMYFUNCTION("""COMPUTED_VALUE"""),"Corsa - Turiza")</f>
        <v>Corsa - Turiza</v>
      </c>
      <c r="E903" s="19" t="str">
        <f>IFERROR(__xludf.DUMMYFUNCTION("""COMPUTED_VALUE"""),"SITIO RFI")</f>
        <v>SITIO RFI</v>
      </c>
      <c r="F903" s="19" t="str">
        <f>IFERROR(__xludf.DUMMYFUNCTION("""COMPUTED_VALUE"""),"RFI")</f>
        <v>RFI</v>
      </c>
      <c r="G903" s="19" t="str">
        <f>IFERROR(__xludf.DUMMYFUNCTION("""COMPUTED_VALUE"""),"AS60")</f>
        <v>AS60</v>
      </c>
      <c r="H903" s="19" t="str">
        <f>IFERROR(__xludf.DUMMYFUNCTION("""COMPUTED_VALUE"""),"MER")</f>
        <v>MER</v>
      </c>
      <c r="I903" s="19" t="str">
        <f>IFERROR(__xludf.DUMMYFUNCTION("""COMPUTED_VALUE"""),"Entregada")</f>
        <v>Entregada</v>
      </c>
      <c r="J903" s="20">
        <f>IFERROR(__xludf.DUMMYFUNCTION("""COMPUTED_VALUE"""),44862.0)</f>
        <v>44862</v>
      </c>
      <c r="K903" s="19" t="str">
        <f>IFERROR(__xludf.DUMMYFUNCTION("""COMPUTED_VALUE"""),"Entregada")</f>
        <v>Entregada</v>
      </c>
      <c r="L903" s="20">
        <f>IFERROR(__xludf.DUMMYFUNCTION("""COMPUTED_VALUE"""),44876.0)</f>
        <v>44876</v>
      </c>
      <c r="M903" s="19" t="str">
        <f>IFERROR(__xludf.DUMMYFUNCTION("""COMPUTED_VALUE"""),"LLOO")</f>
        <v>LLOO</v>
      </c>
      <c r="N903" s="19" t="str">
        <f>IFERROR(__xludf.DUMMYFUNCTION("""COMPUTED_VALUE"""),"PRIORIDAD 1 Q3 2023 OCTUBRE")</f>
        <v>PRIORIDAD 1 Q3 2023 OCTUBRE</v>
      </c>
    </row>
    <row r="904" ht="15.75" customHeight="1">
      <c r="A904" s="19" t="str">
        <f>IFERROR(__xludf.DUMMYFUNCTION("""COMPUTED_VALUE"""),"AB_9469")</f>
        <v>AB_9469</v>
      </c>
      <c r="B904" s="19" t="str">
        <f>IFERROR(__xludf.DUMMYFUNCTION("""COMPUTED_VALUE"""),"AB_9469_A")</f>
        <v>AB_9469_A</v>
      </c>
      <c r="C904" s="19" t="str">
        <f>IFERROR(__xludf.DUMMYFUNCTION("""COMPUTED_VALUE"""),"TA9469")</f>
        <v>TA9469</v>
      </c>
      <c r="D904" s="19" t="str">
        <f>IFERROR(__xludf.DUMMYFUNCTION("""COMPUTED_VALUE"""),"Cuesta Camarones")</f>
        <v>Cuesta Camarones</v>
      </c>
      <c r="E904" s="19" t="str">
        <f>IFERROR(__xludf.DUMMYFUNCTION("""COMPUTED_VALUE"""),"SITIO ASIGNADO")</f>
        <v>SITIO ASIGNADO</v>
      </c>
      <c r="F904" s="19"/>
      <c r="G904" s="19" t="str">
        <f>IFERROR(__xludf.DUMMYFUNCTION("""COMPUTED_VALUE"""),"CV30")</f>
        <v>CV30</v>
      </c>
      <c r="H904" s="19" t="str">
        <f>IFERROR(__xludf.DUMMYFUNCTION("""COMPUTED_VALUE"""),"MER")</f>
        <v>MER</v>
      </c>
      <c r="I904" s="19" t="str">
        <f>IFERROR(__xludf.DUMMYFUNCTION("""COMPUTED_VALUE"""),"Terminada")</f>
        <v>Terminada</v>
      </c>
      <c r="J904" s="20">
        <f>IFERROR(__xludf.DUMMYFUNCTION("""COMPUTED_VALUE"""),45051.0)</f>
        <v>45051</v>
      </c>
      <c r="K904" s="19" t="str">
        <f>IFERROR(__xludf.DUMMYFUNCTION("""COMPUTED_VALUE"""),"Por pintar ")</f>
        <v>Por pintar </v>
      </c>
      <c r="L904" s="20">
        <f>IFERROR(__xludf.DUMMYFUNCTION("""COMPUTED_VALUE"""),45054.0)</f>
        <v>45054</v>
      </c>
      <c r="M904" s="19" t="str">
        <f>IFERROR(__xludf.DUMMYFUNCTION("""COMPUTED_VALUE"""),"PP")</f>
        <v>PP</v>
      </c>
      <c r="N904" s="19" t="str">
        <f>IFERROR(__xludf.DUMMYFUNCTION("""COMPUTED_VALUE"""),"PRIORIDAD 2 Q4 2023 DICIEMBRE")</f>
        <v>PRIORIDAD 2 Q4 2023 DICIEMBRE</v>
      </c>
    </row>
    <row r="905" ht="15.75" customHeight="1">
      <c r="A905" s="19" t="str">
        <f>IFERROR(__xludf.DUMMYFUNCTION("""COMPUTED_VALUE"""),"AB_9470")</f>
        <v>AB_9470</v>
      </c>
      <c r="B905" s="19" t="str">
        <f>IFERROR(__xludf.DUMMYFUNCTION("""COMPUTED_VALUE"""),"AB_9470_A")</f>
        <v>AB_9470_A</v>
      </c>
      <c r="C905" s="19" t="str">
        <f>IFERROR(__xludf.DUMMYFUNCTION("""COMPUTED_VALUE"""),"TA9470")</f>
        <v>TA9470</v>
      </c>
      <c r="D905" s="19" t="str">
        <f>IFERROR(__xludf.DUMMYFUNCTION("""COMPUTED_VALUE"""),"Cuya")</f>
        <v>Cuya</v>
      </c>
      <c r="E905" s="19" t="str">
        <f>IFERROR(__xludf.DUMMYFUNCTION("""COMPUTED_VALUE"""),"SITIO EN CONSTRUCCION")</f>
        <v>SITIO EN CONSTRUCCION</v>
      </c>
      <c r="F905" s="19" t="str">
        <f>IFERROR(__xludf.DUMMYFUNCTION("""COMPUTED_VALUE"""),"EXCAVACION")</f>
        <v>EXCAVACION</v>
      </c>
      <c r="G905" s="19" t="str">
        <f>IFERROR(__xludf.DUMMYFUNCTION("""COMPUTED_VALUE"""),"CV48")</f>
        <v>CV48</v>
      </c>
      <c r="H905" s="19" t="str">
        <f>IFERROR(__xludf.DUMMYFUNCTION("""COMPUTED_VALUE"""),"MER")</f>
        <v>MER</v>
      </c>
      <c r="I905" s="19" t="str">
        <f>IFERROR(__xludf.DUMMYFUNCTION("""COMPUTED_VALUE"""),"Entregada")</f>
        <v>Entregada</v>
      </c>
      <c r="J905" s="20">
        <f>IFERROR(__xludf.DUMMYFUNCTION("""COMPUTED_VALUE"""),45051.0)</f>
        <v>45051</v>
      </c>
      <c r="K905" s="19" t="str">
        <f>IFERROR(__xludf.DUMMYFUNCTION("""COMPUTED_VALUE"""),"Entregada")</f>
        <v>Entregada</v>
      </c>
      <c r="L905" s="20">
        <f>IFERROR(__xludf.DUMMYFUNCTION("""COMPUTED_VALUE"""),45054.0)</f>
        <v>45054</v>
      </c>
      <c r="M905" s="19" t="str">
        <f>IFERROR(__xludf.DUMMYFUNCTION("""COMPUTED_VALUE"""),"PP")</f>
        <v>PP</v>
      </c>
      <c r="N905" s="19" t="str">
        <f>IFERROR(__xludf.DUMMYFUNCTION("""COMPUTED_VALUE"""),"PRIORIDAD 2 Q4 2023 DICIEMBRE")</f>
        <v>PRIORIDAD 2 Q4 2023 DICIEMBRE</v>
      </c>
    </row>
    <row r="906" ht="15.75" customHeight="1">
      <c r="A906" s="19" t="str">
        <f>IFERROR(__xludf.DUMMYFUNCTION("""COMPUTED_VALUE"""),"AB_9471")</f>
        <v>AB_9471</v>
      </c>
      <c r="B906" s="19" t="str">
        <f>IFERROR(__xludf.DUMMYFUNCTION("""COMPUTED_VALUE"""),"AB_9471_A")</f>
        <v>AB_9471_A</v>
      </c>
      <c r="C906" s="19" t="str">
        <f>IFERROR(__xludf.DUMMYFUNCTION("""COMPUTED_VALUE"""),"TA9471")</f>
        <v>TA9471</v>
      </c>
      <c r="D906" s="19" t="str">
        <f>IFERROR(__xludf.DUMMYFUNCTION("""COMPUTED_VALUE"""),"Quebrada de Chiza")</f>
        <v>Quebrada de Chiza</v>
      </c>
      <c r="E906" s="19" t="str">
        <f>IFERROR(__xludf.DUMMYFUNCTION("""COMPUTED_VALUE"""),"SITIO EN CONSTRUCCION")</f>
        <v>SITIO EN CONSTRUCCION</v>
      </c>
      <c r="F906" s="19" t="str">
        <f>IFERROR(__xludf.DUMMYFUNCTION("""COMPUTED_VALUE"""),"VISITA")</f>
        <v>VISITA</v>
      </c>
      <c r="G906" s="19" t="str">
        <f>IFERROR(__xludf.DUMMYFUNCTION("""COMPUTED_VALUE"""),"CV60")</f>
        <v>CV60</v>
      </c>
      <c r="H906" s="19" t="str">
        <f>IFERROR(__xludf.DUMMYFUNCTION("""COMPUTED_VALUE"""),"DEPROMET")</f>
        <v>DEPROMET</v>
      </c>
      <c r="I906" s="19" t="str">
        <f>IFERROR(__xludf.DUMMYFUNCTION("""COMPUTED_VALUE"""),"Terminada")</f>
        <v>Terminada</v>
      </c>
      <c r="J906" s="20">
        <f>IFERROR(__xludf.DUMMYFUNCTION("""COMPUTED_VALUE"""),45001.0)</f>
        <v>45001</v>
      </c>
      <c r="K906" s="19" t="str">
        <f>IFERROR(__xludf.DUMMYFUNCTION("""COMPUTED_VALUE"""),"Terminada")</f>
        <v>Terminada</v>
      </c>
      <c r="L906" s="20">
        <f>IFERROR(__xludf.DUMMYFUNCTION("""COMPUTED_VALUE"""),45014.0)</f>
        <v>45014</v>
      </c>
      <c r="M906" s="19" t="str">
        <f>IFERROR(__xludf.DUMMYFUNCTION("""COMPUTED_VALUE"""),"PP")</f>
        <v>PP</v>
      </c>
      <c r="N906" s="19" t="str">
        <f>IFERROR(__xludf.DUMMYFUNCTION("""COMPUTED_VALUE"""),"PRIORIDAD 2 Q4 2023 DICIEMBRE")</f>
        <v>PRIORIDAD 2 Q4 2023 DICIEMBRE</v>
      </c>
    </row>
    <row r="907" ht="15.75" customHeight="1">
      <c r="A907" s="19" t="str">
        <f>IFERROR(__xludf.DUMMYFUNCTION("""COMPUTED_VALUE"""),"AB_9472")</f>
        <v>AB_9472</v>
      </c>
      <c r="B907" s="19" t="str">
        <f>IFERROR(__xludf.DUMMYFUNCTION("""COMPUTED_VALUE"""),"AB_9472_A")</f>
        <v>AB_9472_A</v>
      </c>
      <c r="C907" s="19" t="str">
        <f>IFERROR(__xludf.DUMMYFUNCTION("""COMPUTED_VALUE"""),"TA9472")</f>
        <v>TA9472</v>
      </c>
      <c r="D907" s="19" t="str">
        <f>IFERROR(__xludf.DUMMYFUNCTION("""COMPUTED_VALUE"""),"Chiza")</f>
        <v>Chiza</v>
      </c>
      <c r="E907" s="19" t="str">
        <f>IFERROR(__xludf.DUMMYFUNCTION("""COMPUTED_VALUE"""),"SITIO ASIGNADO")</f>
        <v>SITIO ASIGNADO</v>
      </c>
      <c r="F907" s="19"/>
      <c r="G907" s="19" t="str">
        <f>IFERROR(__xludf.DUMMYFUNCTION("""COMPUTED_VALUE"""),"CV48")</f>
        <v>CV48</v>
      </c>
      <c r="H907" s="19" t="str">
        <f>IFERROR(__xludf.DUMMYFUNCTION("""COMPUTED_VALUE"""),"MER")</f>
        <v>MER</v>
      </c>
      <c r="I907" s="19" t="str">
        <f>IFERROR(__xludf.DUMMYFUNCTION("""COMPUTED_VALUE"""),"Terminada")</f>
        <v>Terminada</v>
      </c>
      <c r="J907" s="20">
        <f>IFERROR(__xludf.DUMMYFUNCTION("""COMPUTED_VALUE"""),45051.0)</f>
        <v>45051</v>
      </c>
      <c r="K907" s="19" t="str">
        <f>IFERROR(__xludf.DUMMYFUNCTION("""COMPUTED_VALUE"""),"Por pintar ")</f>
        <v>Por pintar </v>
      </c>
      <c r="L907" s="20">
        <f>IFERROR(__xludf.DUMMYFUNCTION("""COMPUTED_VALUE"""),45054.0)</f>
        <v>45054</v>
      </c>
      <c r="M907" s="19" t="str">
        <f>IFERROR(__xludf.DUMMYFUNCTION("""COMPUTED_VALUE"""),"PP")</f>
        <v>PP</v>
      </c>
      <c r="N907" s="19" t="str">
        <f>IFERROR(__xludf.DUMMYFUNCTION("""COMPUTED_VALUE"""),"PRIORIDAD 2 Q4 2023 DICIEMBRE")</f>
        <v>PRIORIDAD 2 Q4 2023 DICIEMBRE</v>
      </c>
    </row>
    <row r="908" ht="15.75" customHeight="1">
      <c r="A908" s="19" t="str">
        <f>IFERROR(__xludf.DUMMYFUNCTION("""COMPUTED_VALUE"""),"AB_9473")</f>
        <v>AB_9473</v>
      </c>
      <c r="B908" s="19" t="str">
        <f>IFERROR(__xludf.DUMMYFUNCTION("""COMPUTED_VALUE"""),"AB_9473_A")</f>
        <v>AB_9473_A</v>
      </c>
      <c r="C908" s="19" t="str">
        <f>IFERROR(__xludf.DUMMYFUNCTION("""COMPUTED_VALUE"""),"TA9473")</f>
        <v>TA9473</v>
      </c>
      <c r="D908" s="19" t="str">
        <f>IFERROR(__xludf.DUMMYFUNCTION("""COMPUTED_VALUE"""),"Quebarda de Tana")</f>
        <v>Quebarda de Tana</v>
      </c>
      <c r="E908" s="19" t="str">
        <f>IFERROR(__xludf.DUMMYFUNCTION("""COMPUTED_VALUE"""),"DETENIDO SAC")</f>
        <v>DETENIDO SAC</v>
      </c>
      <c r="F908" s="19"/>
      <c r="G908" s="19" t="str">
        <f>IFERROR(__xludf.DUMMYFUNCTION("""COMPUTED_VALUE"""),"CV48")</f>
        <v>CV48</v>
      </c>
      <c r="H908" s="19" t="str">
        <f>IFERROR(__xludf.DUMMYFUNCTION("""COMPUTED_VALUE"""),"MER")</f>
        <v>MER</v>
      </c>
      <c r="I908" s="19" t="str">
        <f>IFERROR(__xludf.DUMMYFUNCTION("""COMPUTED_VALUE"""),"Terminada")</f>
        <v>Terminada</v>
      </c>
      <c r="J908" s="20">
        <f>IFERROR(__xludf.DUMMYFUNCTION("""COMPUTED_VALUE"""),45051.0)</f>
        <v>45051</v>
      </c>
      <c r="K908" s="19" t="str">
        <f>IFERROR(__xludf.DUMMYFUNCTION("""COMPUTED_VALUE"""),"Por pintar ")</f>
        <v>Por pintar </v>
      </c>
      <c r="L908" s="20">
        <f>IFERROR(__xludf.DUMMYFUNCTION("""COMPUTED_VALUE"""),45054.0)</f>
        <v>45054</v>
      </c>
      <c r="M908" s="19" t="str">
        <f>IFERROR(__xludf.DUMMYFUNCTION("""COMPUTED_VALUE"""),"PP")</f>
        <v>PP</v>
      </c>
      <c r="N908" s="19" t="str">
        <f>IFERROR(__xludf.DUMMYFUNCTION("""COMPUTED_VALUE"""),"PRIORIDAD 2 Q4 2023 DICIEMBRE")</f>
        <v>PRIORIDAD 2 Q4 2023 DICIEMBRE</v>
      </c>
    </row>
    <row r="909" ht="15.75" customHeight="1">
      <c r="A909" s="19" t="str">
        <f>IFERROR(__xludf.DUMMYFUNCTION("""COMPUTED_VALUE"""),"AB_9474")</f>
        <v>AB_9474</v>
      </c>
      <c r="B909" s="19" t="str">
        <f>IFERROR(__xludf.DUMMYFUNCTION("""COMPUTED_VALUE"""),"AB_9474_A")</f>
        <v>AB_9474_A</v>
      </c>
      <c r="C909" s="19" t="str">
        <f>IFERROR(__xludf.DUMMYFUNCTION("""COMPUTED_VALUE"""),"TA9474")</f>
        <v>TA9474</v>
      </c>
      <c r="D909" s="19" t="str">
        <f>IFERROR(__xludf.DUMMYFUNCTION("""COMPUTED_VALUE"""),"Quebrada de Tilviche")</f>
        <v>Quebrada de Tilviche</v>
      </c>
      <c r="E909" s="19" t="str">
        <f>IFERROR(__xludf.DUMMYFUNCTION("""COMPUTED_VALUE"""),"SITIO EN CONSTRUCCION")</f>
        <v>SITIO EN CONSTRUCCION</v>
      </c>
      <c r="F909" s="19" t="str">
        <f>IFERROR(__xludf.DUMMYFUNCTION("""COMPUTED_VALUE"""),"ENFIERRADURA")</f>
        <v>ENFIERRADURA</v>
      </c>
      <c r="G909" s="19" t="str">
        <f>IFERROR(__xludf.DUMMYFUNCTION("""COMPUTED_VALUE"""),"CV48")</f>
        <v>CV48</v>
      </c>
      <c r="H909" s="19" t="str">
        <f>IFERROR(__xludf.DUMMYFUNCTION("""COMPUTED_VALUE"""),"MER")</f>
        <v>MER</v>
      </c>
      <c r="I909" s="19" t="str">
        <f>IFERROR(__xludf.DUMMYFUNCTION("""COMPUTED_VALUE"""),"Entregada")</f>
        <v>Entregada</v>
      </c>
      <c r="J909" s="20">
        <f>IFERROR(__xludf.DUMMYFUNCTION("""COMPUTED_VALUE"""),45051.0)</f>
        <v>45051</v>
      </c>
      <c r="K909" s="19" t="str">
        <f>IFERROR(__xludf.DUMMYFUNCTION("""COMPUTED_VALUE"""),"Por pintar ")</f>
        <v>Por pintar </v>
      </c>
      <c r="L909" s="20">
        <f>IFERROR(__xludf.DUMMYFUNCTION("""COMPUTED_VALUE"""),45054.0)</f>
        <v>45054</v>
      </c>
      <c r="M909" s="19" t="str">
        <f>IFERROR(__xludf.DUMMYFUNCTION("""COMPUTED_VALUE"""),"PP")</f>
        <v>PP</v>
      </c>
      <c r="N909" s="19" t="str">
        <f>IFERROR(__xludf.DUMMYFUNCTION("""COMPUTED_VALUE"""),"PRIORIDAD 2 Q4 2023 DICIEMBRE")</f>
        <v>PRIORIDAD 2 Q4 2023 DICIEMBRE</v>
      </c>
    </row>
    <row r="910" ht="15.75" customHeight="1">
      <c r="A910" s="19" t="str">
        <f>IFERROR(__xludf.DUMMYFUNCTION("""COMPUTED_VALUE"""),"AB_9475")</f>
        <v>AB_9475</v>
      </c>
      <c r="B910" s="19" t="str">
        <f>IFERROR(__xludf.DUMMYFUNCTION("""COMPUTED_VALUE"""),"AB_9475_A")</f>
        <v>AB_9475_A</v>
      </c>
      <c r="C910" s="19" t="str">
        <f>IFERROR(__xludf.DUMMYFUNCTION("""COMPUTED_VALUE"""),"TA9475")</f>
        <v>TA9475</v>
      </c>
      <c r="D910" s="19" t="str">
        <f>IFERROR(__xludf.DUMMYFUNCTION("""COMPUTED_VALUE"""),"Cuesta de Chiza")</f>
        <v>Cuesta de Chiza</v>
      </c>
      <c r="E910" s="19" t="str">
        <f>IFERROR(__xludf.DUMMYFUNCTION("""COMPUTED_VALUE"""),"DETENIDO COMPRA ESTRUCTURA")</f>
        <v>DETENIDO COMPRA ESTRUCTURA</v>
      </c>
      <c r="F910" s="19"/>
      <c r="G910" s="19" t="str">
        <f>IFERROR(__xludf.DUMMYFUNCTION("""COMPUTED_VALUE"""),"AS60")</f>
        <v>AS60</v>
      </c>
      <c r="H910" s="19" t="str">
        <f>IFERROR(__xludf.DUMMYFUNCTION("""COMPUTED_VALUE"""),"COMPRAS")</f>
        <v>COMPRAS</v>
      </c>
      <c r="I910" s="19"/>
      <c r="J910" s="19"/>
      <c r="K910" s="19"/>
      <c r="L910" s="19"/>
      <c r="M910" s="19" t="str">
        <f>IFERROR(__xludf.DUMMYFUNCTION("""COMPUTED_VALUE"""),"PP")</f>
        <v>PP</v>
      </c>
      <c r="N910" s="19" t="str">
        <f>IFERROR(__xludf.DUMMYFUNCTION("""COMPUTED_VALUE"""),"PRIORIDAD 2 Q4 2023 DICIEMBRE")</f>
        <v>PRIORIDAD 2 Q4 2023 DICIEMBRE</v>
      </c>
    </row>
    <row r="911" ht="15.75" customHeight="1">
      <c r="A911" s="19" t="str">
        <f>IFERROR(__xludf.DUMMYFUNCTION("""COMPUTED_VALUE"""),"AB_9476")</f>
        <v>AB_9476</v>
      </c>
      <c r="B911" s="19" t="str">
        <f>IFERROR(__xludf.DUMMYFUNCTION("""COMPUTED_VALUE"""),"AB_9476_A")</f>
        <v>AB_9476_A</v>
      </c>
      <c r="C911" s="19" t="str">
        <f>IFERROR(__xludf.DUMMYFUNCTION("""COMPUTED_VALUE"""),"TA9476")</f>
        <v>TA9476</v>
      </c>
      <c r="D911" s="19" t="str">
        <f>IFERROR(__xludf.DUMMYFUNCTION("""COMPUTED_VALUE"""),"Ruta 5 Norte Rosita")</f>
        <v>Ruta 5 Norte Rosita</v>
      </c>
      <c r="E911" s="19" t="str">
        <f>IFERROR(__xludf.DUMMYFUNCTION("""COMPUTED_VALUE"""),"SITIO RFC")</f>
        <v>SITIO RFC</v>
      </c>
      <c r="F911" s="19"/>
      <c r="G911" s="19" t="str">
        <f>IFERROR(__xludf.DUMMYFUNCTION("""COMPUTED_VALUE"""),"CV36")</f>
        <v>CV36</v>
      </c>
      <c r="H911" s="19" t="str">
        <f>IFERROR(__xludf.DUMMYFUNCTION("""COMPUTED_VALUE"""),"INCOSERV")</f>
        <v>INCOSERV</v>
      </c>
      <c r="I911" s="19" t="str">
        <f>IFERROR(__xludf.DUMMYFUNCTION("""COMPUTED_VALUE"""),"Terminada")</f>
        <v>Terminada</v>
      </c>
      <c r="J911" s="20">
        <f>IFERROR(__xludf.DUMMYFUNCTION("""COMPUTED_VALUE"""),45034.0)</f>
        <v>45034</v>
      </c>
      <c r="K911" s="19" t="str">
        <f>IFERROR(__xludf.DUMMYFUNCTION("""COMPUTED_VALUE"""),"Terminada")</f>
        <v>Terminada</v>
      </c>
      <c r="L911" s="20">
        <f>IFERROR(__xludf.DUMMYFUNCTION("""COMPUTED_VALUE"""),45093.0)</f>
        <v>45093</v>
      </c>
      <c r="M911" s="19" t="str">
        <f>IFERROR(__xludf.DUMMYFUNCTION("""COMPUTED_VALUE"""),"PP")</f>
        <v>PP</v>
      </c>
      <c r="N911" s="19" t="str">
        <f>IFERROR(__xludf.DUMMYFUNCTION("""COMPUTED_VALUE"""),"PRIORIDAD 2 Q4 2023 DICIEMBRE")</f>
        <v>PRIORIDAD 2 Q4 2023 DICIEMBRE</v>
      </c>
    </row>
    <row r="912" ht="15.75" customHeight="1">
      <c r="A912" s="19" t="str">
        <f>IFERROR(__xludf.DUMMYFUNCTION("""COMPUTED_VALUE"""),"AB_9477")</f>
        <v>AB_9477</v>
      </c>
      <c r="B912" s="19" t="str">
        <f>IFERROR(__xludf.DUMMYFUNCTION("""COMPUTED_VALUE"""),"AB_9477_A")</f>
        <v>AB_9477_A</v>
      </c>
      <c r="C912" s="19" t="str">
        <f>IFERROR(__xludf.DUMMYFUNCTION("""COMPUTED_VALUE"""),"TA9477")</f>
        <v>TA9477</v>
      </c>
      <c r="D912" s="19" t="str">
        <f>IFERROR(__xludf.DUMMYFUNCTION("""COMPUTED_VALUE"""),"Salar de Huasco")</f>
        <v>Salar de Huasco</v>
      </c>
      <c r="E912" s="19" t="str">
        <f>IFERROR(__xludf.DUMMYFUNCTION("""COMPUTED_VALUE"""),"SITIO PENDIENTE")</f>
        <v>SITIO PENDIENTE</v>
      </c>
      <c r="F912" s="19"/>
      <c r="G912" s="19" t="str">
        <f>IFERROR(__xludf.DUMMYFUNCTION("""COMPUTED_VALUE"""),"CV60")</f>
        <v>CV60</v>
      </c>
      <c r="H912" s="19" t="str">
        <f>IFERROR(__xludf.DUMMYFUNCTION("""COMPUTED_VALUE"""),"")</f>
        <v/>
      </c>
      <c r="I912" s="19" t="str">
        <f>IFERROR(__xludf.DUMMYFUNCTION("""COMPUTED_VALUE"""),"")</f>
        <v/>
      </c>
      <c r="J912" s="20" t="str">
        <f>IFERROR(__xludf.DUMMYFUNCTION("""COMPUTED_VALUE"""),"")</f>
        <v/>
      </c>
      <c r="K912" s="19" t="str">
        <f>IFERROR(__xludf.DUMMYFUNCTION("""COMPUTED_VALUE"""),"")</f>
        <v/>
      </c>
      <c r="L912" s="20" t="str">
        <f>IFERROR(__xludf.DUMMYFUNCTION("""COMPUTED_VALUE"""),"")</f>
        <v/>
      </c>
      <c r="M912" s="19" t="str">
        <f>IFERROR(__xludf.DUMMYFUNCTION("""COMPUTED_VALUE"""),"PP")</f>
        <v>PP</v>
      </c>
      <c r="N912" s="19" t="str">
        <f>IFERROR(__xludf.DUMMYFUNCTION("""COMPUTED_VALUE"""),"PRIORIDAD 3 Q1 2024 MARZO")</f>
        <v>PRIORIDAD 3 Q1 2024 MARZO</v>
      </c>
    </row>
    <row r="913" ht="15.75" customHeight="1">
      <c r="A913" s="19" t="str">
        <f>IFERROR(__xludf.DUMMYFUNCTION("""COMPUTED_VALUE"""),"AB_9478")</f>
        <v>AB_9478</v>
      </c>
      <c r="B913" s="19" t="str">
        <f>IFERROR(__xludf.DUMMYFUNCTION("""COMPUTED_VALUE"""),"AB_9478_A")</f>
        <v>AB_9478_A</v>
      </c>
      <c r="C913" s="19" t="str">
        <f>IFERROR(__xludf.DUMMYFUNCTION("""COMPUTED_VALUE"""),"TA9478")</f>
        <v>TA9478</v>
      </c>
      <c r="D913" s="19" t="str">
        <f>IFERROR(__xludf.DUMMYFUNCTION("""COMPUTED_VALUE"""),"Ruta 16 a Humberstone")</f>
        <v>Ruta 16 a Humberstone</v>
      </c>
      <c r="E913" s="19" t="str">
        <f>IFERROR(__xludf.DUMMYFUNCTION("""COMPUTED_VALUE"""),"SITIO EN CONSTRUCCION")</f>
        <v>SITIO EN CONSTRUCCION</v>
      </c>
      <c r="F913" s="19" t="str">
        <f>IFERROR(__xludf.DUMMYFUNCTION("""COMPUTED_VALUE"""),"ENFIERRADURA")</f>
        <v>ENFIERRADURA</v>
      </c>
      <c r="G913" s="19" t="str">
        <f>IFERROR(__xludf.DUMMYFUNCTION("""COMPUTED_VALUE"""),"AS60")</f>
        <v>AS60</v>
      </c>
      <c r="H913" s="19" t="str">
        <f>IFERROR(__xludf.DUMMYFUNCTION("""COMPUTED_VALUE"""),"ADM")</f>
        <v>ADM</v>
      </c>
      <c r="I913" s="19" t="str">
        <f>IFERROR(__xludf.DUMMYFUNCTION("""COMPUTED_VALUE"""),"Entregada")</f>
        <v>Entregada</v>
      </c>
      <c r="J913" s="20">
        <f>IFERROR(__xludf.DUMMYFUNCTION("""COMPUTED_VALUE"""),44750.0)</f>
        <v>44750</v>
      </c>
      <c r="K913" s="19" t="str">
        <f>IFERROR(__xludf.DUMMYFUNCTION("""COMPUTED_VALUE"""),"Entregada")</f>
        <v>Entregada</v>
      </c>
      <c r="L913" s="20">
        <f>IFERROR(__xludf.DUMMYFUNCTION("""COMPUTED_VALUE"""),44890.0)</f>
        <v>44890</v>
      </c>
      <c r="M913" s="19" t="str">
        <f>IFERROR(__xludf.DUMMYFUNCTION("""COMPUTED_VALUE"""),"PP")</f>
        <v>PP</v>
      </c>
      <c r="N913" s="19" t="str">
        <f>IFERROR(__xludf.DUMMYFUNCTION("""COMPUTED_VALUE"""),"PRIORIDAD 2 Q4 2023 DICIEMBRE")</f>
        <v>PRIORIDAD 2 Q4 2023 DICIEMBRE</v>
      </c>
    </row>
    <row r="914" ht="15.75" customHeight="1">
      <c r="A914" s="19" t="str">
        <f>IFERROR(__xludf.DUMMYFUNCTION("""COMPUTED_VALUE"""),"AB_9479")</f>
        <v>AB_9479</v>
      </c>
      <c r="B914" s="19" t="str">
        <f>IFERROR(__xludf.DUMMYFUNCTION("""COMPUTED_VALUE"""),"AB_9479_A")</f>
        <v>AB_9479_A</v>
      </c>
      <c r="C914" s="19" t="str">
        <f>IFERROR(__xludf.DUMMYFUNCTION("""COMPUTED_VALUE"""),"TA9479")</f>
        <v>TA9479</v>
      </c>
      <c r="D914" s="19" t="str">
        <f>IFERROR(__xludf.DUMMYFUNCTION("""COMPUTED_VALUE"""),"Ruta A-651 Tambillos")</f>
        <v>Ruta A-651 Tambillos</v>
      </c>
      <c r="E914" s="19" t="str">
        <f>IFERROR(__xludf.DUMMYFUNCTION("""COMPUTED_VALUE"""),"SITIO EN CONSTRUCCION")</f>
        <v>SITIO EN CONSTRUCCION</v>
      </c>
      <c r="F914" s="19" t="str">
        <f>IFERROR(__xludf.DUMMYFUNCTION("""COMPUTED_VALUE"""),"EMPLANTILLADO")</f>
        <v>EMPLANTILLADO</v>
      </c>
      <c r="G914" s="19" t="str">
        <f>IFERROR(__xludf.DUMMYFUNCTION("""COMPUTED_VALUE"""),"AS60")</f>
        <v>AS60</v>
      </c>
      <c r="H914" s="19" t="str">
        <f>IFERROR(__xludf.DUMMYFUNCTION("""COMPUTED_VALUE"""),"DEITEL")</f>
        <v>DEITEL</v>
      </c>
      <c r="I914" s="19" t="str">
        <f>IFERROR(__xludf.DUMMYFUNCTION("""COMPUTED_VALUE"""),"Terminada")</f>
        <v>Terminada</v>
      </c>
      <c r="J914" s="20">
        <f>IFERROR(__xludf.DUMMYFUNCTION("""COMPUTED_VALUE"""),44854.0)</f>
        <v>44854</v>
      </c>
      <c r="K914" s="19" t="str">
        <f>IFERROR(__xludf.DUMMYFUNCTION("""COMPUTED_VALUE"""),"Terminada")</f>
        <v>Terminada</v>
      </c>
      <c r="L914" s="20">
        <f>IFERROR(__xludf.DUMMYFUNCTION("""COMPUTED_VALUE"""),44854.0)</f>
        <v>44854</v>
      </c>
      <c r="M914" s="19" t="str">
        <f>IFERROR(__xludf.DUMMYFUNCTION("""COMPUTED_VALUE"""),"PP")</f>
        <v>PP</v>
      </c>
      <c r="N914" s="19" t="str">
        <f>IFERROR(__xludf.DUMMYFUNCTION("""COMPUTED_VALUE"""),"PRIORIDAD 2 Q4 2023 DICIEMBRE")</f>
        <v>PRIORIDAD 2 Q4 2023 DICIEMBRE</v>
      </c>
    </row>
    <row r="915" ht="15.75" customHeight="1">
      <c r="A915" s="19" t="str">
        <f>IFERROR(__xludf.DUMMYFUNCTION("""COMPUTED_VALUE"""),"AB_9480")</f>
        <v>AB_9480</v>
      </c>
      <c r="B915" s="19" t="str">
        <f>IFERROR(__xludf.DUMMYFUNCTION("""COMPUTED_VALUE"""),"AB_9480_A")</f>
        <v>AB_9480_A</v>
      </c>
      <c r="C915" s="19" t="str">
        <f>IFERROR(__xludf.DUMMYFUNCTION("""COMPUTED_VALUE"""),"TA9480")</f>
        <v>TA9480</v>
      </c>
      <c r="D915" s="19" t="str">
        <f>IFERROR(__xludf.DUMMYFUNCTION("""COMPUTED_VALUE"""),"Ruta A-651 Alca")</f>
        <v>Ruta A-651 Alca</v>
      </c>
      <c r="E915" s="19" t="str">
        <f>IFERROR(__xludf.DUMMYFUNCTION("""COMPUTED_VALUE"""),"SITIO ASIGNADO")</f>
        <v>SITIO ASIGNADO</v>
      </c>
      <c r="F915" s="19"/>
      <c r="G915" s="19" t="str">
        <f>IFERROR(__xludf.DUMMYFUNCTION("""COMPUTED_VALUE"""),"CV60")</f>
        <v>CV60</v>
      </c>
      <c r="H915" s="19" t="str">
        <f>IFERROR(__xludf.DUMMYFUNCTION("""COMPUTED_VALUE"""),"DEPROMET")</f>
        <v>DEPROMET</v>
      </c>
      <c r="I915" s="19" t="str">
        <f>IFERROR(__xludf.DUMMYFUNCTION("""COMPUTED_VALUE"""),"Terminada")</f>
        <v>Terminada</v>
      </c>
      <c r="J915" s="20">
        <f>IFERROR(__xludf.DUMMYFUNCTION("""COMPUTED_VALUE"""),45001.0)</f>
        <v>45001</v>
      </c>
      <c r="K915" s="19" t="str">
        <f>IFERROR(__xludf.DUMMYFUNCTION("""COMPUTED_VALUE"""),"Por pintar ")</f>
        <v>Por pintar </v>
      </c>
      <c r="L915" s="20">
        <f>IFERROR(__xludf.DUMMYFUNCTION("""COMPUTED_VALUE"""),45027.0)</f>
        <v>45027</v>
      </c>
      <c r="M915" s="19" t="str">
        <f>IFERROR(__xludf.DUMMYFUNCTION("""COMPUTED_VALUE"""),"PP")</f>
        <v>PP</v>
      </c>
      <c r="N915" s="19" t="str">
        <f>IFERROR(__xludf.DUMMYFUNCTION("""COMPUTED_VALUE"""),"PRIORIDAD 2 Q4 2023 DICIEMBRE")</f>
        <v>PRIORIDAD 2 Q4 2023 DICIEMBRE</v>
      </c>
    </row>
    <row r="916" ht="15.75" customHeight="1">
      <c r="A916" s="19" t="str">
        <f>IFERROR(__xludf.DUMMYFUNCTION("""COMPUTED_VALUE"""),"AB_9481")</f>
        <v>AB_9481</v>
      </c>
      <c r="B916" s="19" t="str">
        <f>IFERROR(__xludf.DUMMYFUNCTION("""COMPUTED_VALUE"""),"AB_9481_D")</f>
        <v>AB_9481_D</v>
      </c>
      <c r="C916" s="19" t="str">
        <f>IFERROR(__xludf.DUMMYFUNCTION("""COMPUTED_VALUE"""),"TA9481")</f>
        <v>TA9481</v>
      </c>
      <c r="D916" s="19" t="str">
        <f>IFERROR(__xludf.DUMMYFUNCTION("""COMPUTED_VALUE"""),"Cruce Ruta A-65 Ruta A-651")</f>
        <v>Cruce Ruta A-65 Ruta A-651</v>
      </c>
      <c r="E916" s="19" t="str">
        <f>IFERROR(__xludf.DUMMYFUNCTION("""COMPUTED_VALUE"""),"EN VALIDACION COMPRAS")</f>
        <v>EN VALIDACION COMPRAS</v>
      </c>
      <c r="F916" s="19"/>
      <c r="G916" s="19" t="str">
        <f>IFERROR(__xludf.DUMMYFUNCTION("""COMPUTED_VALUE"""),"AS48")</f>
        <v>AS48</v>
      </c>
      <c r="H916" s="19" t="str">
        <f>IFERROR(__xludf.DUMMYFUNCTION("""COMPUTED_VALUE"""),"SYC")</f>
        <v>SYC</v>
      </c>
      <c r="I916" s="19" t="str">
        <f>IFERROR(__xludf.DUMMYFUNCTION("""COMPUTED_VALUE"""),"En fabricacion")</f>
        <v>En fabricacion</v>
      </c>
      <c r="J916" s="20">
        <f>IFERROR(__xludf.DUMMYFUNCTION("""COMPUTED_VALUE"""),45163.0)</f>
        <v>45163</v>
      </c>
      <c r="K916" s="19" t="str">
        <f>IFERROR(__xludf.DUMMYFUNCTION("""COMPUTED_VALUE"""),"Asignada")</f>
        <v>Asignada</v>
      </c>
      <c r="L916" s="20">
        <f>IFERROR(__xludf.DUMMYFUNCTION("""COMPUTED_VALUE"""),45184.0)</f>
        <v>45184</v>
      </c>
      <c r="M916" s="19" t="str">
        <f>IFERROR(__xludf.DUMMYFUNCTION("""COMPUTED_VALUE"""),"PP")</f>
        <v>PP</v>
      </c>
      <c r="N916" s="19" t="str">
        <f>IFERROR(__xludf.DUMMYFUNCTION("""COMPUTED_VALUE"""),"PRIORIDAD 1 Q3 2023 OCTUBRE")</f>
        <v>PRIORIDAD 1 Q3 2023 OCTUBRE</v>
      </c>
    </row>
    <row r="917" ht="15.75" customHeight="1">
      <c r="A917" s="19" t="str">
        <f>IFERROR(__xludf.DUMMYFUNCTION("""COMPUTED_VALUE"""),"AB_9482")</f>
        <v>AB_9482</v>
      </c>
      <c r="B917" s="19" t="str">
        <f>IFERROR(__xludf.DUMMYFUNCTION("""COMPUTED_VALUE"""),"AB_9482_B")</f>
        <v>AB_9482_B</v>
      </c>
      <c r="C917" s="19" t="str">
        <f>IFERROR(__xludf.DUMMYFUNCTION("""COMPUTED_VALUE"""),"TA9482")</f>
        <v>TA9482</v>
      </c>
      <c r="D917" s="19" t="str">
        <f>IFERROR(__xludf.DUMMYFUNCTION("""COMPUTED_VALUE"""),"Mama Apacheta")</f>
        <v>Mama Apacheta</v>
      </c>
      <c r="E917" s="19" t="str">
        <f>IFERROR(__xludf.DUMMYFUNCTION("""COMPUTED_VALUE"""),"SITIO PENDIENTE")</f>
        <v>SITIO PENDIENTE</v>
      </c>
      <c r="F917" s="19"/>
      <c r="G917" s="19" t="str">
        <f>IFERROR(__xludf.DUMMYFUNCTION("""COMPUTED_VALUE"""),"CV60")</f>
        <v>CV60</v>
      </c>
      <c r="H917" s="19" t="str">
        <f>IFERROR(__xludf.DUMMYFUNCTION("""COMPUTED_VALUE"""),"")</f>
        <v/>
      </c>
      <c r="I917" s="19" t="str">
        <f>IFERROR(__xludf.DUMMYFUNCTION("""COMPUTED_VALUE"""),"")</f>
        <v/>
      </c>
      <c r="J917" s="20" t="str">
        <f>IFERROR(__xludf.DUMMYFUNCTION("""COMPUTED_VALUE"""),"")</f>
        <v/>
      </c>
      <c r="K917" s="19" t="str">
        <f>IFERROR(__xludf.DUMMYFUNCTION("""COMPUTED_VALUE"""),"")</f>
        <v/>
      </c>
      <c r="L917" s="20" t="str">
        <f>IFERROR(__xludf.DUMMYFUNCTION("""COMPUTED_VALUE"""),"")</f>
        <v/>
      </c>
      <c r="M917" s="19" t="str">
        <f>IFERROR(__xludf.DUMMYFUNCTION("""COMPUTED_VALUE"""),"PCM")</f>
        <v>PCM</v>
      </c>
      <c r="N917" s="19" t="str">
        <f>IFERROR(__xludf.DUMMYFUNCTION("""COMPUTED_VALUE"""),"PRIORIDAD 3 Q1 2024 MARZO")</f>
        <v>PRIORIDAD 3 Q1 2024 MARZO</v>
      </c>
    </row>
    <row r="918" ht="15.75" customHeight="1">
      <c r="A918" s="19" t="str">
        <f>IFERROR(__xludf.DUMMYFUNCTION("""COMPUTED_VALUE"""),"AB_9483")</f>
        <v>AB_9483</v>
      </c>
      <c r="B918" s="19" t="str">
        <f>IFERROR(__xludf.DUMMYFUNCTION("""COMPUTED_VALUE"""),"AB_9483_A")</f>
        <v>AB_9483_A</v>
      </c>
      <c r="C918" s="19" t="str">
        <f>IFERROR(__xludf.DUMMYFUNCTION("""COMPUTED_VALUE"""),"TA9483")</f>
        <v>TA9483</v>
      </c>
      <c r="D918" s="19" t="str">
        <f>IFERROR(__xludf.DUMMYFUNCTION("""COMPUTED_VALUE"""),"Ruta A-651 Tasma")</f>
        <v>Ruta A-651 Tasma</v>
      </c>
      <c r="E918" s="19" t="str">
        <f>IFERROR(__xludf.DUMMYFUNCTION("""COMPUTED_VALUE"""),"SITIO EN CONSTRUCCION")</f>
        <v>SITIO EN CONSTRUCCION</v>
      </c>
      <c r="F918" s="19" t="str">
        <f>IFERROR(__xludf.DUMMYFUNCTION("""COMPUTED_VALUE"""),"EMPLANTILLADO")</f>
        <v>EMPLANTILLADO</v>
      </c>
      <c r="G918" s="19" t="str">
        <f>IFERROR(__xludf.DUMMYFUNCTION("""COMPUTED_VALUE"""),"AS48")</f>
        <v>AS48</v>
      </c>
      <c r="H918" s="19" t="str">
        <f>IFERROR(__xludf.DUMMYFUNCTION("""COMPUTED_VALUE"""),"METALING")</f>
        <v>METALING</v>
      </c>
      <c r="I918" s="19" t="str">
        <f>IFERROR(__xludf.DUMMYFUNCTION("""COMPUTED_VALUE"""),"Terminada")</f>
        <v>Terminada</v>
      </c>
      <c r="J918" s="20">
        <f>IFERROR(__xludf.DUMMYFUNCTION("""COMPUTED_VALUE"""),44869.0)</f>
        <v>44869</v>
      </c>
      <c r="K918" s="19" t="str">
        <f>IFERROR(__xludf.DUMMYFUNCTION("""COMPUTED_VALUE"""),"Terminada")</f>
        <v>Terminada</v>
      </c>
      <c r="L918" s="20">
        <f>IFERROR(__xludf.DUMMYFUNCTION("""COMPUTED_VALUE"""),44908.0)</f>
        <v>44908</v>
      </c>
      <c r="M918" s="19" t="str">
        <f>IFERROR(__xludf.DUMMYFUNCTION("""COMPUTED_VALUE"""),"PP")</f>
        <v>PP</v>
      </c>
      <c r="N918" s="19" t="str">
        <f>IFERROR(__xludf.DUMMYFUNCTION("""COMPUTED_VALUE"""),"PRIORIDAD 2 Q4 2023 DICIEMBRE")</f>
        <v>PRIORIDAD 2 Q4 2023 DICIEMBRE</v>
      </c>
    </row>
    <row r="919" ht="15.75" customHeight="1">
      <c r="A919" s="19" t="str">
        <f>IFERROR(__xludf.DUMMYFUNCTION("""COMPUTED_VALUE"""),"AB_9484")</f>
        <v>AB_9484</v>
      </c>
      <c r="B919" s="19" t="str">
        <f>IFERROR(__xludf.DUMMYFUNCTION("""COMPUTED_VALUE"""),"AB_9484_A")</f>
        <v>AB_9484_A</v>
      </c>
      <c r="C919" s="19" t="str">
        <f>IFERROR(__xludf.DUMMYFUNCTION("""COMPUTED_VALUE"""),"TA9484")</f>
        <v>TA9484</v>
      </c>
      <c r="D919" s="19" t="str">
        <f>IFERROR(__xludf.DUMMYFUNCTION("""COMPUTED_VALUE"""),"Cruce Ruta A-633 Ruta A-651")</f>
        <v>Cruce Ruta A-633 Ruta A-651</v>
      </c>
      <c r="E919" s="19" t="str">
        <f>IFERROR(__xludf.DUMMYFUNCTION("""COMPUTED_VALUE"""),"DETENIDO FUERA DE PLAN")</f>
        <v>DETENIDO FUERA DE PLAN</v>
      </c>
      <c r="F919" s="19"/>
      <c r="G919" s="19" t="str">
        <f>IFERROR(__xludf.DUMMYFUNCTION("""COMPUTED_VALUE"""),"x")</f>
        <v>x</v>
      </c>
      <c r="H919" s="19" t="str">
        <f>IFERROR(__xludf.DUMMYFUNCTION("""COMPUTED_VALUE"""),"x")</f>
        <v>x</v>
      </c>
      <c r="I919" s="19" t="str">
        <f>IFERROR(__xludf.DUMMYFUNCTION("""COMPUTED_VALUE"""),"x")</f>
        <v>x</v>
      </c>
      <c r="J919" s="20" t="str">
        <f>IFERROR(__xludf.DUMMYFUNCTION("""COMPUTED_VALUE"""),"x")</f>
        <v>x</v>
      </c>
      <c r="K919" s="19" t="str">
        <f>IFERROR(__xludf.DUMMYFUNCTION("""COMPUTED_VALUE"""),"x")</f>
        <v>x</v>
      </c>
      <c r="L919" s="20" t="str">
        <f>IFERROR(__xludf.DUMMYFUNCTION("""COMPUTED_VALUE"""),"x")</f>
        <v>x</v>
      </c>
      <c r="M919" s="19" t="str">
        <f>IFERROR(__xludf.DUMMYFUNCTION("""COMPUTED_VALUE"""),"PP")</f>
        <v>PP</v>
      </c>
      <c r="N919" s="19" t="str">
        <f>IFERROR(__xludf.DUMMYFUNCTION("""COMPUTED_VALUE"""),"PRIORIDAD 3 Q1 2024 MARZO")</f>
        <v>PRIORIDAD 3 Q1 2024 MARZO</v>
      </c>
    </row>
    <row r="920" ht="15.75" customHeight="1">
      <c r="A920" s="19" t="str">
        <f>IFERROR(__xludf.DUMMYFUNCTION("""COMPUTED_VALUE"""),"AB_9485")</f>
        <v>AB_9485</v>
      </c>
      <c r="B920" s="19" t="str">
        <f>IFERROR(__xludf.DUMMYFUNCTION("""COMPUTED_VALUE"""),"AB_9485_A")</f>
        <v>AB_9485_A</v>
      </c>
      <c r="C920" s="19" t="str">
        <f>IFERROR(__xludf.DUMMYFUNCTION("""COMPUTED_VALUE"""),"TA9485")</f>
        <v>TA9485</v>
      </c>
      <c r="D920" s="19" t="str">
        <f>IFERROR(__xludf.DUMMYFUNCTION("""COMPUTED_VALUE"""),"Colonia Pintados")</f>
        <v>Colonia Pintados</v>
      </c>
      <c r="E920" s="19" t="str">
        <f>IFERROR(__xludf.DUMMYFUNCTION("""COMPUTED_VALUE"""),"SITIO PENDIENTE")</f>
        <v>SITIO PENDIENTE</v>
      </c>
      <c r="F920" s="19"/>
      <c r="G920" s="19" t="str">
        <f>IFERROR(__xludf.DUMMYFUNCTION("""COMPUTED_VALUE"""),"AS60")</f>
        <v>AS60</v>
      </c>
      <c r="H920" s="19" t="str">
        <f>IFERROR(__xludf.DUMMYFUNCTION("""COMPUTED_VALUE"""),"COMPRAS")</f>
        <v>COMPRAS</v>
      </c>
      <c r="I920" s="19"/>
      <c r="J920" s="19"/>
      <c r="K920" s="19"/>
      <c r="L920" s="19"/>
      <c r="M920" s="19" t="str">
        <f>IFERROR(__xludf.DUMMYFUNCTION("""COMPUTED_VALUE"""),"PP")</f>
        <v>PP</v>
      </c>
      <c r="N920" s="19" t="str">
        <f>IFERROR(__xludf.DUMMYFUNCTION("""COMPUTED_VALUE"""),"PRIORIDAD 3 Q1 2024 MARZO")</f>
        <v>PRIORIDAD 3 Q1 2024 MARZO</v>
      </c>
    </row>
    <row r="921" ht="15.75" customHeight="1">
      <c r="A921" s="19" t="str">
        <f>IFERROR(__xludf.DUMMYFUNCTION("""COMPUTED_VALUE"""),"AB_9486")</f>
        <v>AB_9486</v>
      </c>
      <c r="B921" s="19" t="str">
        <f>IFERROR(__xludf.DUMMYFUNCTION("""COMPUTED_VALUE"""),"AB_9486_A")</f>
        <v>AB_9486_A</v>
      </c>
      <c r="C921" s="19" t="str">
        <f>IFERROR(__xludf.DUMMYFUNCTION("""COMPUTED_VALUE"""),"TA9486")</f>
        <v>TA9486</v>
      </c>
      <c r="D921" s="19" t="str">
        <f>IFERROR(__xludf.DUMMYFUNCTION("""COMPUTED_VALUE"""),"Ruta A-685 Altos de Pica")</f>
        <v>Ruta A-685 Altos de Pica</v>
      </c>
      <c r="E921" s="19" t="str">
        <f>IFERROR(__xludf.DUMMYFUNCTION("""COMPUTED_VALUE"""),"SITIO EN CONSTRUCCION")</f>
        <v>SITIO EN CONSTRUCCION</v>
      </c>
      <c r="F921" s="19" t="str">
        <f>IFERROR(__xludf.DUMMYFUNCTION("""COMPUTED_VALUE"""),"ENFIERRADURA")</f>
        <v>ENFIERRADURA</v>
      </c>
      <c r="G921" s="19" t="str">
        <f>IFERROR(__xludf.DUMMYFUNCTION("""COMPUTED_VALUE"""),"CV60")</f>
        <v>CV60</v>
      </c>
      <c r="H921" s="19" t="str">
        <f>IFERROR(__xludf.DUMMYFUNCTION("""COMPUTED_VALUE"""),"INCOSERV")</f>
        <v>INCOSERV</v>
      </c>
      <c r="I921" s="19" t="str">
        <f>IFERROR(__xludf.DUMMYFUNCTION("""COMPUTED_VALUE"""),"Entregada")</f>
        <v>Entregada</v>
      </c>
      <c r="J921" s="20">
        <f>IFERROR(__xludf.DUMMYFUNCTION("""COMPUTED_VALUE"""),45034.0)</f>
        <v>45034</v>
      </c>
      <c r="K921" s="19" t="str">
        <f>IFERROR(__xludf.DUMMYFUNCTION("""COMPUTED_VALUE"""),"Entregada")</f>
        <v>Entregada</v>
      </c>
      <c r="L921" s="20">
        <f>IFERROR(__xludf.DUMMYFUNCTION("""COMPUTED_VALUE"""),45100.0)</f>
        <v>45100</v>
      </c>
      <c r="M921" s="19" t="str">
        <f>IFERROR(__xludf.DUMMYFUNCTION("""COMPUTED_VALUE"""),"PP")</f>
        <v>PP</v>
      </c>
      <c r="N921" s="19" t="str">
        <f>IFERROR(__xludf.DUMMYFUNCTION("""COMPUTED_VALUE"""),"PRIORIDAD 2 Q4 2023 DICIEMBRE")</f>
        <v>PRIORIDAD 2 Q4 2023 DICIEMBRE</v>
      </c>
    </row>
    <row r="922" ht="15.75" customHeight="1">
      <c r="A922" s="19" t="str">
        <f>IFERROR(__xludf.DUMMYFUNCTION("""COMPUTED_VALUE"""),"AB_9487")</f>
        <v>AB_9487</v>
      </c>
      <c r="B922" s="19" t="str">
        <f>IFERROR(__xludf.DUMMYFUNCTION("""COMPUTED_VALUE"""),"AB_9487_D")</f>
        <v>AB_9487_D</v>
      </c>
      <c r="C922" s="19" t="str">
        <f>IFERROR(__xludf.DUMMYFUNCTION("""COMPUTED_VALUE"""),"TA9487")</f>
        <v>TA9487</v>
      </c>
      <c r="D922" s="19" t="str">
        <f>IFERROR(__xludf.DUMMYFUNCTION("""COMPUTED_VALUE"""),"Oficina Alianza")</f>
        <v>Oficina Alianza</v>
      </c>
      <c r="E922" s="19" t="str">
        <f>IFERROR(__xludf.DUMMYFUNCTION("""COMPUTED_VALUE"""),"SITIO PENDIENTE")</f>
        <v>SITIO PENDIENTE</v>
      </c>
      <c r="F922" s="19"/>
      <c r="G922" s="19" t="str">
        <f>IFERROR(__xludf.DUMMYFUNCTION("""COMPUTED_VALUE"""),"CV60")</f>
        <v>CV60</v>
      </c>
      <c r="H922" s="19" t="str">
        <f>IFERROR(__xludf.DUMMYFUNCTION("""COMPUTED_VALUE"""),"")</f>
        <v/>
      </c>
      <c r="I922" s="19" t="str">
        <f>IFERROR(__xludf.DUMMYFUNCTION("""COMPUTED_VALUE"""),"")</f>
        <v/>
      </c>
      <c r="J922" s="20" t="str">
        <f>IFERROR(__xludf.DUMMYFUNCTION("""COMPUTED_VALUE"""),"")</f>
        <v/>
      </c>
      <c r="K922" s="19" t="str">
        <f>IFERROR(__xludf.DUMMYFUNCTION("""COMPUTED_VALUE"""),"")</f>
        <v/>
      </c>
      <c r="L922" s="20" t="str">
        <f>IFERROR(__xludf.DUMMYFUNCTION("""COMPUTED_VALUE"""),"")</f>
        <v/>
      </c>
      <c r="M922" s="19" t="str">
        <f>IFERROR(__xludf.DUMMYFUNCTION("""COMPUTED_VALUE"""),"PP")</f>
        <v>PP</v>
      </c>
      <c r="N922" s="19" t="str">
        <f>IFERROR(__xludf.DUMMYFUNCTION("""COMPUTED_VALUE"""),"PRIORIDAD 3 Q1 2024 MARZO")</f>
        <v>PRIORIDAD 3 Q1 2024 MARZO</v>
      </c>
    </row>
    <row r="923" ht="15.75" customHeight="1">
      <c r="A923" s="19" t="str">
        <f>IFERROR(__xludf.DUMMYFUNCTION("""COMPUTED_VALUE"""),"AB_9488")</f>
        <v>AB_9488</v>
      </c>
      <c r="B923" s="19" t="str">
        <f>IFERROR(__xludf.DUMMYFUNCTION("""COMPUTED_VALUE"""),"AB_9488_A")</f>
        <v>AB_9488_A</v>
      </c>
      <c r="C923" s="19" t="str">
        <f>IFERROR(__xludf.DUMMYFUNCTION("""COMPUTED_VALUE"""),"TA9488")</f>
        <v>TA9488</v>
      </c>
      <c r="D923" s="19" t="str">
        <f>IFERROR(__xludf.DUMMYFUNCTION("""COMPUTED_VALUE"""),"Oficina Nueva Victoria")</f>
        <v>Oficina Nueva Victoria</v>
      </c>
      <c r="E923" s="19" t="str">
        <f>IFERROR(__xludf.DUMMYFUNCTION("""COMPUTED_VALUE"""),"SITIO RFI")</f>
        <v>SITIO RFI</v>
      </c>
      <c r="F923" s="19" t="str">
        <f>IFERROR(__xludf.DUMMYFUNCTION("""COMPUTED_VALUE"""),"RFI")</f>
        <v>RFI</v>
      </c>
      <c r="G923" s="19" t="str">
        <f>IFERROR(__xludf.DUMMYFUNCTION("""COMPUTED_VALUE"""),"CV60")</f>
        <v>CV60</v>
      </c>
      <c r="H923" s="19" t="str">
        <f>IFERROR(__xludf.DUMMYFUNCTION("""COMPUTED_VALUE"""),"DEPROMET")</f>
        <v>DEPROMET</v>
      </c>
      <c r="I923" s="19" t="str">
        <f>IFERROR(__xludf.DUMMYFUNCTION("""COMPUTED_VALUE"""),"Entregada")</f>
        <v>Entregada</v>
      </c>
      <c r="J923" s="20">
        <f>IFERROR(__xludf.DUMMYFUNCTION("""COMPUTED_VALUE"""),45001.0)</f>
        <v>45001</v>
      </c>
      <c r="K923" s="19" t="str">
        <f>IFERROR(__xludf.DUMMYFUNCTION("""COMPUTED_VALUE"""),"Entregada")</f>
        <v>Entregada</v>
      </c>
      <c r="L923" s="20">
        <f>IFERROR(__xludf.DUMMYFUNCTION("""COMPUTED_VALUE"""),45014.0)</f>
        <v>45014</v>
      </c>
      <c r="M923" s="19" t="str">
        <f>IFERROR(__xludf.DUMMYFUNCTION("""COMPUTED_VALUE"""),"PP")</f>
        <v>PP</v>
      </c>
      <c r="N923" s="19" t="str">
        <f>IFERROR(__xludf.DUMMYFUNCTION("""COMPUTED_VALUE"""),"PRIORIDAD 2 Q4 2023 DICIEMBRE")</f>
        <v>PRIORIDAD 2 Q4 2023 DICIEMBRE</v>
      </c>
    </row>
    <row r="924" ht="15.75" customHeight="1">
      <c r="A924" s="19" t="str">
        <f>IFERROR(__xludf.DUMMYFUNCTION("""COMPUTED_VALUE"""),"AB_9489")</f>
        <v>AB_9489</v>
      </c>
      <c r="B924" s="19" t="str">
        <f>IFERROR(__xludf.DUMMYFUNCTION("""COMPUTED_VALUE"""),"AB_9489_A")</f>
        <v>AB_9489_A</v>
      </c>
      <c r="C924" s="19" t="str">
        <f>IFERROR(__xludf.DUMMYFUNCTION("""COMPUTED_VALUE"""),"TA9489")</f>
        <v>TA9489</v>
      </c>
      <c r="D924" s="19" t="str">
        <f>IFERROR(__xludf.DUMMYFUNCTION("""COMPUTED_VALUE"""),"Cerro Soledad")</f>
        <v>Cerro Soledad</v>
      </c>
      <c r="E924" s="19" t="str">
        <f>IFERROR(__xludf.DUMMYFUNCTION("""COMPUTED_VALUE"""),"DETENIDO COMPRA ESTRUCTURA")</f>
        <v>DETENIDO COMPRA ESTRUCTURA</v>
      </c>
      <c r="F924" s="19"/>
      <c r="G924" s="19" t="str">
        <f>IFERROR(__xludf.DUMMYFUNCTION("""COMPUTED_VALUE"""),"AS60")</f>
        <v>AS60</v>
      </c>
      <c r="H924" s="19" t="str">
        <f>IFERROR(__xludf.DUMMYFUNCTION("""COMPUTED_VALUE"""),"COMPRAS")</f>
        <v>COMPRAS</v>
      </c>
      <c r="I924" s="19"/>
      <c r="J924" s="19"/>
      <c r="K924" s="19"/>
      <c r="L924" s="19"/>
      <c r="M924" s="19" t="str">
        <f>IFERROR(__xludf.DUMMYFUNCTION("""COMPUTED_VALUE"""),"PP")</f>
        <v>PP</v>
      </c>
      <c r="N924" s="19" t="str">
        <f>IFERROR(__xludf.DUMMYFUNCTION("""COMPUTED_VALUE"""),"PRIORIDAD 2 Q4 2023 DICIEMBRE")</f>
        <v>PRIORIDAD 2 Q4 2023 DICIEMBRE</v>
      </c>
    </row>
    <row r="925" ht="15.75" customHeight="1">
      <c r="A925" s="19" t="str">
        <f>IFERROR(__xludf.DUMMYFUNCTION("""COMPUTED_VALUE"""),"AB_9490")</f>
        <v>AB_9490</v>
      </c>
      <c r="B925" s="19" t="str">
        <f>IFERROR(__xludf.DUMMYFUNCTION("""COMPUTED_VALUE"""),"AB_9490_A")</f>
        <v>AB_9490_A</v>
      </c>
      <c r="C925" s="19" t="str">
        <f>IFERROR(__xludf.DUMMYFUNCTION("""COMPUTED_VALUE"""),"TA9490")</f>
        <v>TA9490</v>
      </c>
      <c r="D925" s="19" t="str">
        <f>IFERROR(__xludf.DUMMYFUNCTION("""COMPUTED_VALUE"""),"Quebrada Mal Paso")</f>
        <v>Quebrada Mal Paso</v>
      </c>
      <c r="E925" s="19" t="str">
        <f>IFERROR(__xludf.DUMMYFUNCTION("""COMPUTED_VALUE"""),"SITIO EN CONSTRUCCION")</f>
        <v>SITIO EN CONSTRUCCION</v>
      </c>
      <c r="F925" s="19" t="str">
        <f>IFERROR(__xludf.DUMMYFUNCTION("""COMPUTED_VALUE"""),"VISITA")</f>
        <v>VISITA</v>
      </c>
      <c r="G925" s="19" t="str">
        <f>IFERROR(__xludf.DUMMYFUNCTION("""COMPUTED_VALUE"""),"AS60")</f>
        <v>AS60</v>
      </c>
      <c r="H925" s="19" t="str">
        <f>IFERROR(__xludf.DUMMYFUNCTION("""COMPUTED_VALUE"""),"JTI")</f>
        <v>JTI</v>
      </c>
      <c r="I925" s="19" t="str">
        <f>IFERROR(__xludf.DUMMYFUNCTION("""COMPUTED_VALUE"""),"Terminada")</f>
        <v>Terminada</v>
      </c>
      <c r="J925" s="20">
        <f>IFERROR(__xludf.DUMMYFUNCTION("""COMPUTED_VALUE"""),45034.0)</f>
        <v>45034</v>
      </c>
      <c r="K925" s="19" t="str">
        <f>IFERROR(__xludf.DUMMYFUNCTION("""COMPUTED_VALUE"""),"Por pintar ")</f>
        <v>Por pintar </v>
      </c>
      <c r="L925" s="20">
        <f>IFERROR(__xludf.DUMMYFUNCTION("""COMPUTED_VALUE"""),45044.0)</f>
        <v>45044</v>
      </c>
      <c r="M925" s="19" t="str">
        <f>IFERROR(__xludf.DUMMYFUNCTION("""COMPUTED_VALUE"""),"PP")</f>
        <v>PP</v>
      </c>
      <c r="N925" s="19" t="str">
        <f>IFERROR(__xludf.DUMMYFUNCTION("""COMPUTED_VALUE"""),"PRIORIDAD 2 Q4 2023 DICIEMBRE")</f>
        <v>PRIORIDAD 2 Q4 2023 DICIEMBRE</v>
      </c>
    </row>
    <row r="926" ht="15.75" customHeight="1">
      <c r="A926" s="19" t="str">
        <f>IFERROR(__xludf.DUMMYFUNCTION("""COMPUTED_VALUE"""),"AB_9491")</f>
        <v>AB_9491</v>
      </c>
      <c r="B926" s="19" t="str">
        <f>IFERROR(__xludf.DUMMYFUNCTION("""COMPUTED_VALUE"""),"AB_9491_A")</f>
        <v>AB_9491_A</v>
      </c>
      <c r="C926" s="19" t="str">
        <f>IFERROR(__xludf.DUMMYFUNCTION("""COMPUTED_VALUE"""),"TA9491")</f>
        <v>TA9491</v>
      </c>
      <c r="D926" s="19" t="str">
        <f>IFERROR(__xludf.DUMMYFUNCTION("""COMPUTED_VALUE"""),"Ruta A-685 Tambillo")</f>
        <v>Ruta A-685 Tambillo</v>
      </c>
      <c r="E926" s="19" t="str">
        <f>IFERROR(__xludf.DUMMYFUNCTION("""COMPUTED_VALUE"""),"SITIO EN CONSTRUCCION")</f>
        <v>SITIO EN CONSTRUCCION</v>
      </c>
      <c r="F926" s="19" t="str">
        <f>IFERROR(__xludf.DUMMYFUNCTION("""COMPUTED_VALUE"""),"ENFIERRADURA")</f>
        <v>ENFIERRADURA</v>
      </c>
      <c r="G926" s="19" t="str">
        <f>IFERROR(__xludf.DUMMYFUNCTION("""COMPUTED_VALUE"""),"AS36")</f>
        <v>AS36</v>
      </c>
      <c r="H926" s="19" t="str">
        <f>IFERROR(__xludf.DUMMYFUNCTION("""COMPUTED_VALUE"""),"JTI")</f>
        <v>JTI</v>
      </c>
      <c r="I926" s="19" t="str">
        <f>IFERROR(__xludf.DUMMYFUNCTION("""COMPUTED_VALUE"""),"Terminada")</f>
        <v>Terminada</v>
      </c>
      <c r="J926" s="20">
        <f>IFERROR(__xludf.DUMMYFUNCTION("""COMPUTED_VALUE"""),45014.0)</f>
        <v>45014</v>
      </c>
      <c r="K926" s="19" t="str">
        <f>IFERROR(__xludf.DUMMYFUNCTION("""COMPUTED_VALUE"""),"Terminada")</f>
        <v>Terminada</v>
      </c>
      <c r="L926" s="20">
        <f>IFERROR(__xludf.DUMMYFUNCTION("""COMPUTED_VALUE"""),45014.0)</f>
        <v>45014</v>
      </c>
      <c r="M926" s="19" t="str">
        <f>IFERROR(__xludf.DUMMYFUNCTION("""COMPUTED_VALUE"""),"PP")</f>
        <v>PP</v>
      </c>
      <c r="N926" s="19" t="str">
        <f>IFERROR(__xludf.DUMMYFUNCTION("""COMPUTED_VALUE"""),"PRIORIDAD 2 Q4 2023 DICIEMBRE")</f>
        <v>PRIORIDAD 2 Q4 2023 DICIEMBRE</v>
      </c>
    </row>
    <row r="927" ht="15.75" customHeight="1">
      <c r="A927" s="19" t="str">
        <f>IFERROR(__xludf.DUMMYFUNCTION("""COMPUTED_VALUE"""),"AB_9492")</f>
        <v>AB_9492</v>
      </c>
      <c r="B927" s="19" t="str">
        <f>IFERROR(__xludf.DUMMYFUNCTION("""COMPUTED_VALUE"""),"AB_9492_E")</f>
        <v>AB_9492_E</v>
      </c>
      <c r="C927" s="19" t="str">
        <f>IFERROR(__xludf.DUMMYFUNCTION("""COMPUTED_VALUE"""),"TA9492")</f>
        <v>TA9492</v>
      </c>
      <c r="D927" s="19" t="str">
        <f>IFERROR(__xludf.DUMMYFUNCTION("""COMPUTED_VALUE"""),"Pampa del Tamarugal")</f>
        <v>Pampa del Tamarugal</v>
      </c>
      <c r="E927" s="19" t="str">
        <f>IFERROR(__xludf.DUMMYFUNCTION("""COMPUTED_VALUE"""),"DETENIDO FUERA DE PLAN")</f>
        <v>DETENIDO FUERA DE PLAN</v>
      </c>
      <c r="F927" s="19"/>
      <c r="G927" s="19" t="str">
        <f>IFERROR(__xludf.DUMMYFUNCTION("""COMPUTED_VALUE"""),"AS60")</f>
        <v>AS60</v>
      </c>
      <c r="H927" s="19" t="str">
        <f>IFERROR(__xludf.DUMMYFUNCTION("""COMPUTED_VALUE"""),"COMPRAS")</f>
        <v>COMPRAS</v>
      </c>
      <c r="I927" s="19"/>
      <c r="J927" s="19"/>
      <c r="K927" s="19"/>
      <c r="L927" s="19"/>
      <c r="M927" s="19" t="str">
        <f>IFERROR(__xludf.DUMMYFUNCTION("""COMPUTED_VALUE"""),"PP")</f>
        <v>PP</v>
      </c>
      <c r="N927" s="19" t="str">
        <f>IFERROR(__xludf.DUMMYFUNCTION("""COMPUTED_VALUE"""),"PRIORIDAD 3 Q1 2024 MARZO")</f>
        <v>PRIORIDAD 3 Q1 2024 MARZO</v>
      </c>
    </row>
    <row r="928" ht="15.75" customHeight="1">
      <c r="A928" s="19" t="str">
        <f>IFERROR(__xludf.DUMMYFUNCTION("""COMPUTED_VALUE"""),"AB_9493")</f>
        <v>AB_9493</v>
      </c>
      <c r="B928" s="19" t="str">
        <f>IFERROR(__xludf.DUMMYFUNCTION("""COMPUTED_VALUE"""),"AB_9493_A")</f>
        <v>AB_9493_A</v>
      </c>
      <c r="C928" s="19" t="str">
        <f>IFERROR(__xludf.DUMMYFUNCTION("""COMPUTED_VALUE"""),"TA9493")</f>
        <v>TA9493</v>
      </c>
      <c r="D928" s="19" t="str">
        <f>IFERROR(__xludf.DUMMYFUNCTION("""COMPUTED_VALUE"""),"Estacion Hilaricos")</f>
        <v>Estacion Hilaricos</v>
      </c>
      <c r="E928" s="19" t="str">
        <f>IFERROR(__xludf.DUMMYFUNCTION("""COMPUTED_VALUE"""),"SITIO ASIGNADO")</f>
        <v>SITIO ASIGNADO</v>
      </c>
      <c r="F928" s="19" t="str">
        <f>IFERROR(__xludf.DUMMYFUNCTION("""COMPUTED_VALUE"""),"EXCAVACION")</f>
        <v>EXCAVACION</v>
      </c>
      <c r="G928" s="19" t="str">
        <f>IFERROR(__xludf.DUMMYFUNCTION("""COMPUTED_VALUE"""),"CV48")</f>
        <v>CV48</v>
      </c>
      <c r="H928" s="19" t="str">
        <f>IFERROR(__xludf.DUMMYFUNCTION("""COMPUTED_VALUE"""),"INCOSERV")</f>
        <v>INCOSERV</v>
      </c>
      <c r="I928" s="19" t="str">
        <f>IFERROR(__xludf.DUMMYFUNCTION("""COMPUTED_VALUE"""),"Terminada")</f>
        <v>Terminada</v>
      </c>
      <c r="J928" s="20">
        <f>IFERROR(__xludf.DUMMYFUNCTION("""COMPUTED_VALUE"""),45034.0)</f>
        <v>45034</v>
      </c>
      <c r="K928" s="19" t="str">
        <f>IFERROR(__xludf.DUMMYFUNCTION("""COMPUTED_VALUE"""),"Por pintar ")</f>
        <v>Por pintar </v>
      </c>
      <c r="L928" s="20">
        <f>IFERROR(__xludf.DUMMYFUNCTION("""COMPUTED_VALUE"""),45114.0)</f>
        <v>45114</v>
      </c>
      <c r="M928" s="19" t="str">
        <f>IFERROR(__xludf.DUMMYFUNCTION("""COMPUTED_VALUE"""),"PP")</f>
        <v>PP</v>
      </c>
      <c r="N928" s="19" t="str">
        <f>IFERROR(__xludf.DUMMYFUNCTION("""COMPUTED_VALUE"""),"PRIORIDAD 2 Q4 2023 DICIEMBRE")</f>
        <v>PRIORIDAD 2 Q4 2023 DICIEMBRE</v>
      </c>
    </row>
    <row r="929" ht="15.75" customHeight="1">
      <c r="A929" s="19" t="str">
        <f>IFERROR(__xludf.DUMMYFUNCTION("""COMPUTED_VALUE"""),"AB_9655")</f>
        <v>AB_9655</v>
      </c>
      <c r="B929" s="19" t="str">
        <f>IFERROR(__xludf.DUMMYFUNCTION("""COMPUTED_VALUE"""),"AB_9655_A")</f>
        <v>AB_9655_A</v>
      </c>
      <c r="C929" s="19" t="str">
        <f>IFERROR(__xludf.DUMMYFUNCTION("""COMPUTED_VALUE"""),"TA9655")</f>
        <v>TA9655</v>
      </c>
      <c r="D929" s="19" t="str">
        <f>IFERROR(__xludf.DUMMYFUNCTION("""COMPUTED_VALUE"""),"Ruta A-75 a Pica")</f>
        <v>Ruta A-75 a Pica</v>
      </c>
      <c r="E929" s="19" t="str">
        <f>IFERROR(__xludf.DUMMYFUNCTION("""COMPUTED_VALUE"""),"DETENIDO FUERA DE PLAN")</f>
        <v>DETENIDO FUERA DE PLAN</v>
      </c>
      <c r="F929" s="19"/>
      <c r="G929" s="19" t="str">
        <f>IFERROR(__xludf.DUMMYFUNCTION("""COMPUTED_VALUE"""),"x")</f>
        <v>x</v>
      </c>
      <c r="H929" s="19" t="str">
        <f>IFERROR(__xludf.DUMMYFUNCTION("""COMPUTED_VALUE"""),"x")</f>
        <v>x</v>
      </c>
      <c r="I929" s="19" t="str">
        <f>IFERROR(__xludf.DUMMYFUNCTION("""COMPUTED_VALUE"""),"x")</f>
        <v>x</v>
      </c>
      <c r="J929" s="20" t="str">
        <f>IFERROR(__xludf.DUMMYFUNCTION("""COMPUTED_VALUE"""),"x")</f>
        <v>x</v>
      </c>
      <c r="K929" s="19" t="str">
        <f>IFERROR(__xludf.DUMMYFUNCTION("""COMPUTED_VALUE"""),"x")</f>
        <v>x</v>
      </c>
      <c r="L929" s="20" t="str">
        <f>IFERROR(__xludf.DUMMYFUNCTION("""COMPUTED_VALUE"""),"x")</f>
        <v>x</v>
      </c>
      <c r="M929" s="19" t="str">
        <f>IFERROR(__xludf.DUMMYFUNCTION("""COMPUTED_VALUE"""),"PP")</f>
        <v>PP</v>
      </c>
      <c r="N929" s="19" t="str">
        <f>IFERROR(__xludf.DUMMYFUNCTION("""COMPUTED_VALUE"""),"PRIORIDAD 2 Q4 2023 DICIEMBRE")</f>
        <v>PRIORIDAD 2 Q4 2023 DICIEMBRE</v>
      </c>
    </row>
    <row r="930" ht="15.75" customHeight="1">
      <c r="A930" s="19" t="str">
        <f>IFERROR(__xludf.DUMMYFUNCTION("""COMPUTED_VALUE"""),"AB_9678")</f>
        <v>AB_9678</v>
      </c>
      <c r="B930" s="19" t="str">
        <f>IFERROR(__xludf.DUMMYFUNCTION("""COMPUTED_VALUE"""),"AB_9678_E")</f>
        <v>AB_9678_E</v>
      </c>
      <c r="C930" s="19" t="str">
        <f>IFERROR(__xludf.DUMMYFUNCTION("""COMPUTED_VALUE"""),"TA9678")</f>
        <v>TA9678</v>
      </c>
      <c r="D930" s="19" t="str">
        <f>IFERROR(__xludf.DUMMYFUNCTION("""COMPUTED_VALUE"""),"Parajaya")</f>
        <v>Parajaya</v>
      </c>
      <c r="E930" s="19" t="str">
        <f>IFERROR(__xludf.DUMMYFUNCTION("""COMPUTED_VALUE"""),"SITIO EN CONSTRUCCION")</f>
        <v>SITIO EN CONSTRUCCION</v>
      </c>
      <c r="F930" s="19" t="str">
        <f>IFERROR(__xludf.DUMMYFUNCTION("""COMPUTED_VALUE"""),"VISITA")</f>
        <v>VISITA</v>
      </c>
      <c r="G930" s="19" t="str">
        <f>IFERROR(__xludf.DUMMYFUNCTION("""COMPUTED_VALUE"""),"CV42")</f>
        <v>CV42</v>
      </c>
      <c r="H930" s="19" t="str">
        <f>IFERROR(__xludf.DUMMYFUNCTION("""COMPUTED_VALUE"""),"INCOSERV")</f>
        <v>INCOSERV</v>
      </c>
      <c r="I930" s="19" t="str">
        <f>IFERROR(__xludf.DUMMYFUNCTION("""COMPUTED_VALUE"""),"Terminada")</f>
        <v>Terminada</v>
      </c>
      <c r="J930" s="20">
        <f>IFERROR(__xludf.DUMMYFUNCTION("""COMPUTED_VALUE"""),45034.0)</f>
        <v>45034</v>
      </c>
      <c r="K930" s="19" t="str">
        <f>IFERROR(__xludf.DUMMYFUNCTION("""COMPUTED_VALUE"""),"Por pintar ")</f>
        <v>Por pintar </v>
      </c>
      <c r="L930" s="20">
        <f>IFERROR(__xludf.DUMMYFUNCTION("""COMPUTED_VALUE"""),45093.0)</f>
        <v>45093</v>
      </c>
      <c r="M930" s="19" t="str">
        <f>IFERROR(__xludf.DUMMYFUNCTION("""COMPUTED_VALUE"""),"PCM")</f>
        <v>PCM</v>
      </c>
      <c r="N930" s="19" t="str">
        <f>IFERROR(__xludf.DUMMYFUNCTION("""COMPUTED_VALUE"""),"PRIORIDAD 1 Q3 2023 OCTUBRE")</f>
        <v>PRIORIDAD 1 Q3 2023 OCTUBRE</v>
      </c>
    </row>
    <row r="931" ht="15.75" customHeight="1">
      <c r="A931" s="19" t="str">
        <f>IFERROR(__xludf.DUMMYFUNCTION("""COMPUTED_VALUE"""),"AB_9716")</f>
        <v>AB_9716</v>
      </c>
      <c r="B931" s="19" t="str">
        <f>IFERROR(__xludf.DUMMYFUNCTION("""COMPUTED_VALUE"""),"AB_9716_A")</f>
        <v>AB_9716_A</v>
      </c>
      <c r="C931" s="19" t="str">
        <f>IFERROR(__xludf.DUMMYFUNCTION("""COMPUTED_VALUE"""),"TA9716")</f>
        <v>TA9716</v>
      </c>
      <c r="D931" s="19" t="str">
        <f>IFERROR(__xludf.DUMMYFUNCTION("""COMPUTED_VALUE"""),"Altos de Pica")</f>
        <v>Altos de Pica</v>
      </c>
      <c r="E931" s="19" t="str">
        <f>IFERROR(__xludf.DUMMYFUNCTION("""COMPUTED_VALUE"""),"DETENIDO COMPRA ESTRUCTURA")</f>
        <v>DETENIDO COMPRA ESTRUCTURA</v>
      </c>
      <c r="F931" s="19"/>
      <c r="G931" s="19" t="str">
        <f>IFERROR(__xludf.DUMMYFUNCTION("""COMPUTED_VALUE"""),"AS72")</f>
        <v>AS72</v>
      </c>
      <c r="H931" s="19" t="str">
        <f>IFERROR(__xludf.DUMMYFUNCTION("""COMPUTED_VALUE"""),"COMPRAS")</f>
        <v>COMPRAS</v>
      </c>
      <c r="I931" s="19"/>
      <c r="J931" s="19"/>
      <c r="K931" s="19"/>
      <c r="L931" s="19"/>
      <c r="M931" s="19" t="str">
        <f>IFERROR(__xludf.DUMMYFUNCTION("""COMPUTED_VALUE"""),"PP")</f>
        <v>PP</v>
      </c>
      <c r="N931" s="19" t="str">
        <f>IFERROR(__xludf.DUMMYFUNCTION("""COMPUTED_VALUE"""),"PRIORIDAD 2 Q4 2023 DICIEMBRE")</f>
        <v>PRIORIDAD 2 Q4 2023 DICIEMBRE</v>
      </c>
    </row>
    <row r="932" ht="15.75" customHeight="1">
      <c r="A932" s="19" t="str">
        <f>IFERROR(__xludf.DUMMYFUNCTION("""COMPUTED_VALUE"""),"AB_9832")</f>
        <v>AB_9832</v>
      </c>
      <c r="B932" s="19" t="str">
        <f>IFERROR(__xludf.DUMMYFUNCTION("""COMPUTED_VALUE"""),"AB_9832_A")</f>
        <v>AB_9832_A</v>
      </c>
      <c r="C932" s="19" t="str">
        <f>IFERROR(__xludf.DUMMYFUNCTION("""COMPUTED_VALUE"""),"TA9832")</f>
        <v>TA9832</v>
      </c>
      <c r="D932" s="19" t="str">
        <f>IFERROR(__xludf.DUMMYFUNCTION("""COMPUTED_VALUE"""),"Cultane ")</f>
        <v>Cultane </v>
      </c>
      <c r="E932" s="19" t="str">
        <f>IFERROR(__xludf.DUMMYFUNCTION("""COMPUTED_VALUE"""),"SITIO CONSTRUIDO")</f>
        <v>SITIO CONSTRUIDO</v>
      </c>
      <c r="F932" s="19" t="str">
        <f>IFERROR(__xludf.DUMMYFUNCTION("""COMPUTED_VALUE"""),"EXCAVACION")</f>
        <v>EXCAVACION</v>
      </c>
      <c r="G932" s="19" t="str">
        <f>IFERROR(__xludf.DUMMYFUNCTION("""COMPUTED_VALUE"""),"AS60")</f>
        <v>AS60</v>
      </c>
      <c r="H932" s="19" t="str">
        <f>IFERROR(__xludf.DUMMYFUNCTION("""COMPUTED_VALUE"""),"MER")</f>
        <v>MER</v>
      </c>
      <c r="I932" s="19" t="str">
        <f>IFERROR(__xludf.DUMMYFUNCTION("""COMPUTED_VALUE"""),"Entregada")</f>
        <v>Entregada</v>
      </c>
      <c r="J932" s="20">
        <f>IFERROR(__xludf.DUMMYFUNCTION("""COMPUTED_VALUE"""),44862.0)</f>
        <v>44862</v>
      </c>
      <c r="K932" s="19" t="str">
        <f>IFERROR(__xludf.DUMMYFUNCTION("""COMPUTED_VALUE"""),"Entregada")</f>
        <v>Entregada</v>
      </c>
      <c r="L932" s="20">
        <f>IFERROR(__xludf.DUMMYFUNCTION("""COMPUTED_VALUE"""),44883.0)</f>
        <v>44883</v>
      </c>
      <c r="M932" s="19" t="str">
        <f>IFERROR(__xludf.DUMMYFUNCTION("""COMPUTED_VALUE"""),"LLOO")</f>
        <v>LLOO</v>
      </c>
      <c r="N932" s="19" t="str">
        <f>IFERROR(__xludf.DUMMYFUNCTION("""COMPUTED_VALUE"""),"PRIORIDAD 1 Q3 2023 OCTUBRE")</f>
        <v>PRIORIDAD 1 Q3 2023 OCTUBRE</v>
      </c>
    </row>
    <row r="933" ht="15.75" customHeight="1">
      <c r="A933" s="19" t="str">
        <f>IFERROR(__xludf.DUMMYFUNCTION("""COMPUTED_VALUE"""),"AB_9677")</f>
        <v>AB_9677</v>
      </c>
      <c r="B933" s="19" t="str">
        <f>IFERROR(__xludf.DUMMYFUNCTION("""COMPUTED_VALUE"""),"AB_9677_B")</f>
        <v>AB_9677_B</v>
      </c>
      <c r="C933" s="19" t="str">
        <f>IFERROR(__xludf.DUMMYFUNCTION("""COMPUTED_VALUE"""),"OH9677")</f>
        <v>OH9677</v>
      </c>
      <c r="D933" s="19" t="str">
        <f>IFERROR(__xludf.DUMMYFUNCTION("""COMPUTED_VALUE"""),"Los Tricahues Lolol")</f>
        <v>Los Tricahues Lolol</v>
      </c>
      <c r="E933" s="19" t="str">
        <f>IFERROR(__xludf.DUMMYFUNCTION("""COMPUTED_VALUE"""),"SITIO RFI")</f>
        <v>SITIO RFI</v>
      </c>
      <c r="F933" s="19" t="str">
        <f>IFERROR(__xludf.DUMMYFUNCTION("""COMPUTED_VALUE"""),"RFI")</f>
        <v>RFI</v>
      </c>
      <c r="G933" s="19" t="str">
        <f>IFERROR(__xludf.DUMMYFUNCTION("""COMPUTED_VALUE"""),"CV60")</f>
        <v>CV60</v>
      </c>
      <c r="H933" s="19" t="str">
        <f>IFERROR(__xludf.DUMMYFUNCTION("""COMPUTED_VALUE"""),"DEPROMET")</f>
        <v>DEPROMET</v>
      </c>
      <c r="I933" s="19" t="str">
        <f>IFERROR(__xludf.DUMMYFUNCTION("""COMPUTED_VALUE"""),"Entregada")</f>
        <v>Entregada</v>
      </c>
      <c r="J933" s="20">
        <f>IFERROR(__xludf.DUMMYFUNCTION("""COMPUTED_VALUE"""),45001.0)</f>
        <v>45001</v>
      </c>
      <c r="K933" s="19" t="str">
        <f>IFERROR(__xludf.DUMMYFUNCTION("""COMPUTED_VALUE"""),"Entregada")</f>
        <v>Entregada</v>
      </c>
      <c r="L933" s="20">
        <f>IFERROR(__xludf.DUMMYFUNCTION("""COMPUTED_VALUE"""),45058.0)</f>
        <v>45058</v>
      </c>
      <c r="M933" s="19" t="str">
        <f>IFERROR(__xludf.DUMMYFUNCTION("""COMPUTED_VALUE"""),"LLOO")</f>
        <v>LLOO</v>
      </c>
      <c r="N933" s="19" t="str">
        <f>IFERROR(__xludf.DUMMYFUNCTION("""COMPUTED_VALUE"""),"PRIORIDAD 1 Q3 2023 OCTUBRE")</f>
        <v>PRIORIDAD 1 Q3 2023 OCTUBRE</v>
      </c>
    </row>
    <row r="934" ht="15.75" customHeight="1">
      <c r="A934" s="19" t="str">
        <f>IFERROR(__xludf.DUMMYFUNCTION("""COMPUTED_VALUE"""),"AB_10163")</f>
        <v>AB_10163</v>
      </c>
      <c r="B934" s="19" t="str">
        <f>IFERROR(__xludf.DUMMYFUNCTION("""COMPUTED_VALUE"""),"AB_10163_A")</f>
        <v>AB_10163_A</v>
      </c>
      <c r="C934" s="19" t="str">
        <f>IFERROR(__xludf.DUMMYFUNCTION("""COMPUTED_VALUE"""),"RM10163")</f>
        <v>RM10163</v>
      </c>
      <c r="D934" s="19" t="str">
        <f>IFERROR(__xludf.DUMMYFUNCTION("""COMPUTED_VALUE"""),"Hijuela Oriente Pelvin")</f>
        <v>Hijuela Oriente Pelvin</v>
      </c>
      <c r="E934" s="19" t="str">
        <f>IFERROR(__xludf.DUMMYFUNCTION("""COMPUTED_VALUE"""),"SITIO ASIGNADO")</f>
        <v>SITIO ASIGNADO</v>
      </c>
      <c r="F934" s="19"/>
      <c r="G934" s="19" t="str">
        <f>IFERROR(__xludf.DUMMYFUNCTION("""COMPUTED_VALUE"""),"CV36")</f>
        <v>CV36</v>
      </c>
      <c r="H934" s="19" t="str">
        <f>IFERROR(__xludf.DUMMYFUNCTION("""COMPUTED_VALUE"""),"MER")</f>
        <v>MER</v>
      </c>
      <c r="I934" s="19" t="str">
        <f>IFERROR(__xludf.DUMMYFUNCTION("""COMPUTED_VALUE"""),"Entregada")</f>
        <v>Entregada</v>
      </c>
      <c r="J934" s="20">
        <f>IFERROR(__xludf.DUMMYFUNCTION("""COMPUTED_VALUE"""),44649.0)</f>
        <v>44649</v>
      </c>
      <c r="K934" s="19" t="str">
        <f>IFERROR(__xludf.DUMMYFUNCTION("""COMPUTED_VALUE"""),"Entregada")</f>
        <v>Entregada</v>
      </c>
      <c r="L934" s="20">
        <f>IFERROR(__xludf.DUMMYFUNCTION("""COMPUTED_VALUE"""),44694.0)</f>
        <v>44694</v>
      </c>
      <c r="M934" s="19" t="str">
        <f>IFERROR(__xludf.DUMMYFUNCTION("""COMPUTED_VALUE"""),"PCM")</f>
        <v>PCM</v>
      </c>
      <c r="N934" s="19" t="str">
        <f>IFERROR(__xludf.DUMMYFUNCTION("""COMPUTED_VALUE"""),"PRIORIDAD 1 Q3 2023 OCTUBRE")</f>
        <v>PRIORIDAD 1 Q3 2023 OCTUBRE</v>
      </c>
    </row>
    <row r="935" ht="15.75" customHeight="1">
      <c r="A935" s="19" t="str">
        <f>IFERROR(__xludf.DUMMYFUNCTION("""COMPUTED_VALUE"""),"AB_9822")</f>
        <v>AB_9822</v>
      </c>
      <c r="B935" s="19" t="str">
        <f>IFERROR(__xludf.DUMMYFUNCTION("""COMPUTED_VALUE"""),"AB_9822_B")</f>
        <v>AB_9822_B</v>
      </c>
      <c r="C935" s="19" t="str">
        <f>IFERROR(__xludf.DUMMYFUNCTION("""COMPUTED_VALUE"""),"TA9822")</f>
        <v>TA9822</v>
      </c>
      <c r="D935" s="19" t="str">
        <f>IFERROR(__xludf.DUMMYFUNCTION("""COMPUTED_VALUE"""),"Oficina Angela")</f>
        <v>Oficina Angela</v>
      </c>
      <c r="E935" s="19" t="str">
        <f>IFERROR(__xludf.DUMMYFUNCTION("""COMPUTED_VALUE"""),"DETENIDO FUERA DE PLAN")</f>
        <v>DETENIDO FUERA DE PLAN</v>
      </c>
      <c r="F935" s="19"/>
      <c r="G935" s="19" t="str">
        <f>IFERROR(__xludf.DUMMYFUNCTION("""COMPUTED_VALUE"""),"x")</f>
        <v>x</v>
      </c>
      <c r="H935" s="19" t="str">
        <f>IFERROR(__xludf.DUMMYFUNCTION("""COMPUTED_VALUE"""),"x")</f>
        <v>x</v>
      </c>
      <c r="I935" s="19" t="str">
        <f>IFERROR(__xludf.DUMMYFUNCTION("""COMPUTED_VALUE"""),"x")</f>
        <v>x</v>
      </c>
      <c r="J935" s="20" t="str">
        <f>IFERROR(__xludf.DUMMYFUNCTION("""COMPUTED_VALUE"""),"x")</f>
        <v>x</v>
      </c>
      <c r="K935" s="19" t="str">
        <f>IFERROR(__xludf.DUMMYFUNCTION("""COMPUTED_VALUE"""),"x")</f>
        <v>x</v>
      </c>
      <c r="L935" s="20" t="str">
        <f>IFERROR(__xludf.DUMMYFUNCTION("""COMPUTED_VALUE"""),"x")</f>
        <v>x</v>
      </c>
      <c r="M935" s="19" t="str">
        <f>IFERROR(__xludf.DUMMYFUNCTION("""COMPUTED_VALUE"""),"PP")</f>
        <v>PP</v>
      </c>
      <c r="N935" s="19" t="str">
        <f>IFERROR(__xludf.DUMMYFUNCTION("""COMPUTED_VALUE"""),"PRIORIDAD 3 Q1 2024 MARZO")</f>
        <v>PRIORIDAD 3 Q1 2024 MARZO</v>
      </c>
    </row>
    <row r="936" ht="15.75" customHeight="1">
      <c r="A936" s="19" t="str">
        <f>IFERROR(__xludf.DUMMYFUNCTION("""COMPUTED_VALUE"""),"AB_9825")</f>
        <v>AB_9825</v>
      </c>
      <c r="B936" s="19" t="str">
        <f>IFERROR(__xludf.DUMMYFUNCTION("""COMPUTED_VALUE"""),"AB_9825_A")</f>
        <v>AB_9825_A</v>
      </c>
      <c r="C936" s="19" t="str">
        <f>IFERROR(__xludf.DUMMYFUNCTION("""COMPUTED_VALUE"""),"TA9825")</f>
        <v>TA9825</v>
      </c>
      <c r="D936" s="19" t="str">
        <f>IFERROR(__xludf.DUMMYFUNCTION("""COMPUTED_VALUE"""),"Nueva Victoria - Oficina Iris")</f>
        <v>Nueva Victoria - Oficina Iris</v>
      </c>
      <c r="E936" s="19" t="str">
        <f>IFERROR(__xludf.DUMMYFUNCTION("""COMPUTED_VALUE"""),"SITIO ASIGNADO")</f>
        <v>SITIO ASIGNADO</v>
      </c>
      <c r="F936" s="19" t="str">
        <f>IFERROR(__xludf.DUMMYFUNCTION("""COMPUTED_VALUE"""),"EXCAVACION")</f>
        <v>EXCAVACION</v>
      </c>
      <c r="G936" s="19" t="str">
        <f>IFERROR(__xludf.DUMMYFUNCTION("""COMPUTED_VALUE"""),"CV48")</f>
        <v>CV48</v>
      </c>
      <c r="H936" s="19" t="str">
        <f>IFERROR(__xludf.DUMMYFUNCTION("""COMPUTED_VALUE"""),"INCOSERV")</f>
        <v>INCOSERV</v>
      </c>
      <c r="I936" s="19" t="str">
        <f>IFERROR(__xludf.DUMMYFUNCTION("""COMPUTED_VALUE"""),"Terminada")</f>
        <v>Terminada</v>
      </c>
      <c r="J936" s="20">
        <f>IFERROR(__xludf.DUMMYFUNCTION("""COMPUTED_VALUE"""),45034.0)</f>
        <v>45034</v>
      </c>
      <c r="K936" s="19" t="str">
        <f>IFERROR(__xludf.DUMMYFUNCTION("""COMPUTED_VALUE"""),"Por pintar ")</f>
        <v>Por pintar </v>
      </c>
      <c r="L936" s="20">
        <f>IFERROR(__xludf.DUMMYFUNCTION("""COMPUTED_VALUE"""),45114.0)</f>
        <v>45114</v>
      </c>
      <c r="M936" s="19" t="str">
        <f>IFERROR(__xludf.DUMMYFUNCTION("""COMPUTED_VALUE"""),"PP")</f>
        <v>PP</v>
      </c>
      <c r="N936" s="19" t="str">
        <f>IFERROR(__xludf.DUMMYFUNCTION("""COMPUTED_VALUE"""),"PRIORIDAD 2 Q4 2023 DICIEMBRE")</f>
        <v>PRIORIDAD 2 Q4 2023 DICIEMBRE</v>
      </c>
    </row>
    <row r="937" ht="15.75" customHeight="1">
      <c r="A937" s="19" t="str">
        <f>IFERROR(__xludf.DUMMYFUNCTION("""COMPUTED_VALUE"""),"AB_10205")</f>
        <v>AB_10205</v>
      </c>
      <c r="B937" s="19" t="str">
        <f>IFERROR(__xludf.DUMMYFUNCTION("""COMPUTED_VALUE"""),"AB_10205_B")</f>
        <v>AB_10205_B</v>
      </c>
      <c r="C937" s="19" t="str">
        <f>IFERROR(__xludf.DUMMYFUNCTION("""COMPUTED_VALUE"""),"RM10205")</f>
        <v>RM10205</v>
      </c>
      <c r="D937" s="19" t="str">
        <f>IFERROR(__xludf.DUMMYFUNCTION("""COMPUTED_VALUE"""),"Sendero Quebrada de Macul")</f>
        <v>Sendero Quebrada de Macul</v>
      </c>
      <c r="E937" s="19" t="str">
        <f>IFERROR(__xludf.DUMMYFUNCTION("""COMPUTED_VALUE"""),"SITIO CONSTRUIDO")</f>
        <v>SITIO CONSTRUIDO</v>
      </c>
      <c r="F937" s="19" t="str">
        <f>IFERROR(__xludf.DUMMYFUNCTION("""COMPUTED_VALUE"""),"EXCAVACION")</f>
        <v>EXCAVACION</v>
      </c>
      <c r="G937" s="19" t="str">
        <f>IFERROR(__xludf.DUMMYFUNCTION("""COMPUTED_VALUE"""),"CV24")</f>
        <v>CV24</v>
      </c>
      <c r="H937" s="19" t="str">
        <f>IFERROR(__xludf.DUMMYFUNCTION("""COMPUTED_VALUE"""),"INGENIUS")</f>
        <v>INGENIUS</v>
      </c>
      <c r="I937" s="19" t="str">
        <f>IFERROR(__xludf.DUMMYFUNCTION("""COMPUTED_VALUE"""),"Terminada")</f>
        <v>Terminada</v>
      </c>
      <c r="J937" s="20">
        <f>IFERROR(__xludf.DUMMYFUNCTION("""COMPUTED_VALUE"""),45041.0)</f>
        <v>45041</v>
      </c>
      <c r="K937" s="19" t="str">
        <f>IFERROR(__xludf.DUMMYFUNCTION("""COMPUTED_VALUE"""),"Por pintar ")</f>
        <v>Por pintar </v>
      </c>
      <c r="L937" s="20">
        <f>IFERROR(__xludf.DUMMYFUNCTION("""COMPUTED_VALUE"""),45062.0)</f>
        <v>45062</v>
      </c>
      <c r="M937" s="19" t="str">
        <f>IFERROR(__xludf.DUMMYFUNCTION("""COMPUTED_VALUE"""),"PCM")</f>
        <v>PCM</v>
      </c>
      <c r="N937" s="19" t="str">
        <f>IFERROR(__xludf.DUMMYFUNCTION("""COMPUTED_VALUE"""),"PRIORIDAD 1 Q3 2023 OCTUBRE")</f>
        <v>PRIORIDAD 1 Q3 2023 OCTUBRE</v>
      </c>
    </row>
    <row r="938" ht="15.75" customHeight="1">
      <c r="A938" s="19" t="str">
        <f>IFERROR(__xludf.DUMMYFUNCTION("""COMPUTED_VALUE"""),"AB_9916")</f>
        <v>AB_9916</v>
      </c>
      <c r="B938" s="19" t="str">
        <f>IFERROR(__xludf.DUMMYFUNCTION("""COMPUTED_VALUE"""),"AB_9916_C")</f>
        <v>AB_9916_C</v>
      </c>
      <c r="C938" s="19" t="str">
        <f>IFERROR(__xludf.DUMMYFUNCTION("""COMPUTED_VALUE"""),"TA9916")</f>
        <v>TA9916</v>
      </c>
      <c r="D938" s="19" t="str">
        <f>IFERROR(__xludf.DUMMYFUNCTION("""COMPUTED_VALUE"""),"Cerro Cariquima")</f>
        <v>Cerro Cariquima</v>
      </c>
      <c r="E938" s="19" t="str">
        <f>IFERROR(__xludf.DUMMYFUNCTION("""COMPUTED_VALUE"""),"SITIO ASIGNADO")</f>
        <v>SITIO ASIGNADO</v>
      </c>
      <c r="F938" s="19"/>
      <c r="G938" s="19" t="str">
        <f>IFERROR(__xludf.DUMMYFUNCTION("""COMPUTED_VALUE"""),"CV60")</f>
        <v>CV60</v>
      </c>
      <c r="H938" s="19" t="str">
        <f>IFERROR(__xludf.DUMMYFUNCTION("""COMPUTED_VALUE"""),"INCOSERV")</f>
        <v>INCOSERV</v>
      </c>
      <c r="I938" s="19" t="str">
        <f>IFERROR(__xludf.DUMMYFUNCTION("""COMPUTED_VALUE"""),"Asignada")</f>
        <v>Asignada</v>
      </c>
      <c r="J938" s="20">
        <f>IFERROR(__xludf.DUMMYFUNCTION("""COMPUTED_VALUE"""),45163.0)</f>
        <v>45163</v>
      </c>
      <c r="K938" s="19" t="str">
        <f>IFERROR(__xludf.DUMMYFUNCTION("""COMPUTED_VALUE"""),"Asignada")</f>
        <v>Asignada</v>
      </c>
      <c r="L938" s="20">
        <f>IFERROR(__xludf.DUMMYFUNCTION("""COMPUTED_VALUE"""),45198.0)</f>
        <v>45198</v>
      </c>
      <c r="M938" s="19" t="str">
        <f>IFERROR(__xludf.DUMMYFUNCTION("""COMPUTED_VALUE"""),"PP")</f>
        <v>PP</v>
      </c>
      <c r="N938" s="19" t="str">
        <f>IFERROR(__xludf.DUMMYFUNCTION("""COMPUTED_VALUE"""),"PRIORIDAD 1 Q3 2023 OCTUBRE")</f>
        <v>PRIORIDAD 1 Q3 2023 OCTUBRE</v>
      </c>
    </row>
    <row r="939" ht="15.75" customHeight="1">
      <c r="A939" s="19" t="str">
        <f>IFERROR(__xludf.DUMMYFUNCTION("""COMPUTED_VALUE"""),"AB_9965")</f>
        <v>AB_9965</v>
      </c>
      <c r="B939" s="19" t="str">
        <f>IFERROR(__xludf.DUMMYFUNCTION("""COMPUTED_VALUE"""),"AB_9965_A")</f>
        <v>AB_9965_A</v>
      </c>
      <c r="C939" s="19" t="str">
        <f>IFERROR(__xludf.DUMMYFUNCTION("""COMPUTED_VALUE"""),"TA9965")</f>
        <v>TA9965</v>
      </c>
      <c r="D939" s="19" t="str">
        <f>IFERROR(__xludf.DUMMYFUNCTION("""COMPUTED_VALUE"""),"Quillahuasa")</f>
        <v>Quillahuasa</v>
      </c>
      <c r="E939" s="19" t="str">
        <f>IFERROR(__xludf.DUMMYFUNCTION("""COMPUTED_VALUE"""),"DETENIDO FUERA DE PLAN")</f>
        <v>DETENIDO FUERA DE PLAN</v>
      </c>
      <c r="F939" s="19"/>
      <c r="G939" s="19" t="str">
        <f>IFERROR(__xludf.DUMMYFUNCTION("""COMPUTED_VALUE"""),"x")</f>
        <v>x</v>
      </c>
      <c r="H939" s="19" t="str">
        <f>IFERROR(__xludf.DUMMYFUNCTION("""COMPUTED_VALUE"""),"x")</f>
        <v>x</v>
      </c>
      <c r="I939" s="19" t="str">
        <f>IFERROR(__xludf.DUMMYFUNCTION("""COMPUTED_VALUE"""),"x")</f>
        <v>x</v>
      </c>
      <c r="J939" s="20" t="str">
        <f>IFERROR(__xludf.DUMMYFUNCTION("""COMPUTED_VALUE"""),"x")</f>
        <v>x</v>
      </c>
      <c r="K939" s="19" t="str">
        <f>IFERROR(__xludf.DUMMYFUNCTION("""COMPUTED_VALUE"""),"x")</f>
        <v>x</v>
      </c>
      <c r="L939" s="20" t="str">
        <f>IFERROR(__xludf.DUMMYFUNCTION("""COMPUTED_VALUE"""),"x")</f>
        <v>x</v>
      </c>
      <c r="M939" s="19" t="str">
        <f>IFERROR(__xludf.DUMMYFUNCTION("""COMPUTED_VALUE"""),"PP")</f>
        <v>PP</v>
      </c>
      <c r="N939" s="19" t="str">
        <f>IFERROR(__xludf.DUMMYFUNCTION("""COMPUTED_VALUE"""),"PRIORIDAD 2 Q4 2023 DICIEMBRE")</f>
        <v>PRIORIDAD 2 Q4 2023 DICIEMBRE</v>
      </c>
    </row>
    <row r="940" ht="15.75" customHeight="1">
      <c r="A940" s="19" t="str">
        <f>IFERROR(__xludf.DUMMYFUNCTION("""COMPUTED_VALUE"""),"AB_9966")</f>
        <v>AB_9966</v>
      </c>
      <c r="B940" s="19" t="str">
        <f>IFERROR(__xludf.DUMMYFUNCTION("""COMPUTED_VALUE"""),"AB_9966_C")</f>
        <v>AB_9966_C</v>
      </c>
      <c r="C940" s="19" t="str">
        <f>IFERROR(__xludf.DUMMYFUNCTION("""COMPUTED_VALUE"""),"TA9966")</f>
        <v>TA9966</v>
      </c>
      <c r="D940" s="19" t="str">
        <f>IFERROR(__xludf.DUMMYFUNCTION("""COMPUTED_VALUE"""),"Cuesta de la Visagra")</f>
        <v>Cuesta de la Visagra</v>
      </c>
      <c r="E940" s="19" t="str">
        <f>IFERROR(__xludf.DUMMYFUNCTION("""COMPUTED_VALUE"""),"SITIO RFC")</f>
        <v>SITIO RFC</v>
      </c>
      <c r="F940" s="19"/>
      <c r="G940" s="19" t="str">
        <f>IFERROR(__xludf.DUMMYFUNCTION("""COMPUTED_VALUE"""),"AS36")</f>
        <v>AS36</v>
      </c>
      <c r="H940" s="19" t="str">
        <f>IFERROR(__xludf.DUMMYFUNCTION("""COMPUTED_VALUE"""),"JTI")</f>
        <v>JTI</v>
      </c>
      <c r="I940" s="19" t="str">
        <f>IFERROR(__xludf.DUMMYFUNCTION("""COMPUTED_VALUE"""),"Terminada")</f>
        <v>Terminada</v>
      </c>
      <c r="J940" s="20">
        <f>IFERROR(__xludf.DUMMYFUNCTION("""COMPUTED_VALUE"""),45034.0)</f>
        <v>45034</v>
      </c>
      <c r="K940" s="19" t="str">
        <f>IFERROR(__xludf.DUMMYFUNCTION("""COMPUTED_VALUE"""),"Por pintar ")</f>
        <v>Por pintar </v>
      </c>
      <c r="L940" s="20">
        <f>IFERROR(__xludf.DUMMYFUNCTION("""COMPUTED_VALUE"""),45044.0)</f>
        <v>45044</v>
      </c>
      <c r="M940" s="19" t="str">
        <f>IFERROR(__xludf.DUMMYFUNCTION("""COMPUTED_VALUE"""),"PP")</f>
        <v>PP</v>
      </c>
      <c r="N940" s="19" t="str">
        <f>IFERROR(__xludf.DUMMYFUNCTION("""COMPUTED_VALUE"""),"PRIORIDAD 2 Q4 2023 DICIEMBRE")</f>
        <v>PRIORIDAD 2 Q4 2023 DICIEMBRE</v>
      </c>
    </row>
    <row r="941" ht="15.75" customHeight="1">
      <c r="A941" s="19" t="str">
        <f>IFERROR(__xludf.DUMMYFUNCTION("""COMPUTED_VALUE"""),"AB_9967")</f>
        <v>AB_9967</v>
      </c>
      <c r="B941" s="19" t="str">
        <f>IFERROR(__xludf.DUMMYFUNCTION("""COMPUTED_VALUE"""),"AB_9967_A")</f>
        <v>AB_9967_A</v>
      </c>
      <c r="C941" s="19" t="str">
        <f>IFERROR(__xludf.DUMMYFUNCTION("""COMPUTED_VALUE"""),"TA9967")</f>
        <v>TA9967</v>
      </c>
      <c r="D941" s="19" t="str">
        <f>IFERROR(__xludf.DUMMYFUNCTION("""COMPUTED_VALUE"""),"Chusmiza")</f>
        <v>Chusmiza</v>
      </c>
      <c r="E941" s="19" t="str">
        <f>IFERROR(__xludf.DUMMYFUNCTION("""COMPUTED_VALUE"""),"DETENIDO COMUNIDAD")</f>
        <v>DETENIDO COMUNIDAD</v>
      </c>
      <c r="F941" s="19"/>
      <c r="G941" s="19" t="str">
        <f>IFERROR(__xludf.DUMMYFUNCTION("""COMPUTED_VALUE"""),"AS60")</f>
        <v>AS60</v>
      </c>
      <c r="H941" s="19" t="str">
        <f>IFERROR(__xludf.DUMMYFUNCTION("""COMPUTED_VALUE"""),"COMPRAS")</f>
        <v>COMPRAS</v>
      </c>
      <c r="I941" s="19"/>
      <c r="J941" s="19"/>
      <c r="K941" s="19"/>
      <c r="L941" s="19"/>
      <c r="M941" s="19" t="str">
        <f>IFERROR(__xludf.DUMMYFUNCTION("""COMPUTED_VALUE"""),"PP")</f>
        <v>PP</v>
      </c>
      <c r="N941" s="19" t="str">
        <f>IFERROR(__xludf.DUMMYFUNCTION("""COMPUTED_VALUE"""),"PRIORIDAD 2 Q4 2023 DICIEMBRE")</f>
        <v>PRIORIDAD 2 Q4 2023 DICIEMBRE</v>
      </c>
    </row>
    <row r="942" ht="15.75" customHeight="1">
      <c r="A942" s="19" t="str">
        <f>IFERROR(__xludf.DUMMYFUNCTION("""COMPUTED_VALUE"""),"AB_9968")</f>
        <v>AB_9968</v>
      </c>
      <c r="B942" s="19" t="str">
        <f>IFERROR(__xludf.DUMMYFUNCTION("""COMPUTED_VALUE"""),"AB_9968_C")</f>
        <v>AB_9968_C</v>
      </c>
      <c r="C942" s="19" t="str">
        <f>IFERROR(__xludf.DUMMYFUNCTION("""COMPUTED_VALUE"""),"TA9968")</f>
        <v>TA9968</v>
      </c>
      <c r="D942" s="19" t="str">
        <f>IFERROR(__xludf.DUMMYFUNCTION("""COMPUTED_VALUE"""),"Cerro Quebe")</f>
        <v>Cerro Quebe</v>
      </c>
      <c r="E942" s="19" t="str">
        <f>IFERROR(__xludf.DUMMYFUNCTION("""COMPUTED_VALUE"""),"SITIO ASIGNADO")</f>
        <v>SITIO ASIGNADO</v>
      </c>
      <c r="F942" s="19"/>
      <c r="G942" s="19" t="str">
        <f>IFERROR(__xludf.DUMMYFUNCTION("""COMPUTED_VALUE"""),"CV60")</f>
        <v>CV60</v>
      </c>
      <c r="H942" s="19" t="str">
        <f>IFERROR(__xludf.DUMMYFUNCTION("""COMPUTED_VALUE"""),"DEPROMET")</f>
        <v>DEPROMET</v>
      </c>
      <c r="I942" s="19" t="str">
        <f>IFERROR(__xludf.DUMMYFUNCTION("""COMPUTED_VALUE"""),"Terminada")</f>
        <v>Terminada</v>
      </c>
      <c r="J942" s="20">
        <f>IFERROR(__xludf.DUMMYFUNCTION("""COMPUTED_VALUE"""),45001.0)</f>
        <v>45001</v>
      </c>
      <c r="K942" s="19" t="str">
        <f>IFERROR(__xludf.DUMMYFUNCTION("""COMPUTED_VALUE"""),"Terminada")</f>
        <v>Terminada</v>
      </c>
      <c r="L942" s="20">
        <f>IFERROR(__xludf.DUMMYFUNCTION("""COMPUTED_VALUE"""),45001.0)</f>
        <v>45001</v>
      </c>
      <c r="M942" s="19" t="str">
        <f>IFERROR(__xludf.DUMMYFUNCTION("""COMPUTED_VALUE"""),"PP")</f>
        <v>PP</v>
      </c>
      <c r="N942" s="19" t="str">
        <f>IFERROR(__xludf.DUMMYFUNCTION("""COMPUTED_VALUE"""),"PRIORIDAD 1 Q3 2023 OCTUBRE")</f>
        <v>PRIORIDAD 1 Q3 2023 OCTUBRE</v>
      </c>
    </row>
    <row r="943" ht="15.75" customHeight="1">
      <c r="A943" s="19" t="str">
        <f>IFERROR(__xludf.DUMMYFUNCTION("""COMPUTED_VALUE"""),"AB_9969")</f>
        <v>AB_9969</v>
      </c>
      <c r="B943" s="19" t="str">
        <f>IFERROR(__xludf.DUMMYFUNCTION("""COMPUTED_VALUE"""),"AB_9969_B")</f>
        <v>AB_9969_B</v>
      </c>
      <c r="C943" s="19" t="str">
        <f>IFERROR(__xludf.DUMMYFUNCTION("""COMPUTED_VALUE"""),"TA9969")</f>
        <v>TA9969</v>
      </c>
      <c r="D943" s="19" t="str">
        <f>IFERROR(__xludf.DUMMYFUNCTION("""COMPUTED_VALUE"""),"Cerro Saucana")</f>
        <v>Cerro Saucana</v>
      </c>
      <c r="E943" s="19" t="str">
        <f>IFERROR(__xludf.DUMMYFUNCTION("""COMPUTED_VALUE"""),"SITIO ASIGNADO")</f>
        <v>SITIO ASIGNADO</v>
      </c>
      <c r="F943" s="19"/>
      <c r="G943" s="19" t="str">
        <f>IFERROR(__xludf.DUMMYFUNCTION("""COMPUTED_VALUE"""),"CV42")</f>
        <v>CV42</v>
      </c>
      <c r="H943" s="19" t="str">
        <f>IFERROR(__xludf.DUMMYFUNCTION("""COMPUTED_VALUE"""),"INGENIUS")</f>
        <v>INGENIUS</v>
      </c>
      <c r="I943" s="19" t="str">
        <f>IFERROR(__xludf.DUMMYFUNCTION("""COMPUTED_VALUE"""),"Terminada")</f>
        <v>Terminada</v>
      </c>
      <c r="J943" s="20">
        <f>IFERROR(__xludf.DUMMYFUNCTION("""COMPUTED_VALUE"""),45042.0)</f>
        <v>45042</v>
      </c>
      <c r="K943" s="19" t="str">
        <f>IFERROR(__xludf.DUMMYFUNCTION("""COMPUTED_VALUE"""),"En fabricacion")</f>
        <v>En fabricacion</v>
      </c>
      <c r="L943" s="20">
        <f>IFERROR(__xludf.DUMMYFUNCTION("""COMPUTED_VALUE"""),45114.0)</f>
        <v>45114</v>
      </c>
      <c r="M943" s="19" t="str">
        <f>IFERROR(__xludf.DUMMYFUNCTION("""COMPUTED_VALUE"""),"PP")</f>
        <v>PP</v>
      </c>
      <c r="N943" s="19" t="str">
        <f>IFERROR(__xludf.DUMMYFUNCTION("""COMPUTED_VALUE"""),"PRIORIDAD 1 Q3 2023 OCTUBRE")</f>
        <v>PRIORIDAD 1 Q3 2023 OCTUBRE</v>
      </c>
    </row>
    <row r="944" ht="15.75" customHeight="1">
      <c r="A944" s="19" t="str">
        <f>IFERROR(__xludf.DUMMYFUNCTION("""COMPUTED_VALUE"""),"AB_9970")</f>
        <v>AB_9970</v>
      </c>
      <c r="B944" s="19" t="str">
        <f>IFERROR(__xludf.DUMMYFUNCTION("""COMPUTED_VALUE"""),"AB_9970_A")</f>
        <v>AB_9970_A</v>
      </c>
      <c r="C944" s="19" t="str">
        <f>IFERROR(__xludf.DUMMYFUNCTION("""COMPUTED_VALUE"""),"TA9970")</f>
        <v>TA9970</v>
      </c>
      <c r="D944" s="19" t="str">
        <f>IFERROR(__xludf.DUMMYFUNCTION("""COMPUTED_VALUE"""),"Cuesta Ruta 15")</f>
        <v>Cuesta Ruta 15</v>
      </c>
      <c r="E944" s="19" t="str">
        <f>IFERROR(__xludf.DUMMYFUNCTION("""COMPUTED_VALUE"""),"SITIO PENDIENTE")</f>
        <v>SITIO PENDIENTE</v>
      </c>
      <c r="F944" s="19"/>
      <c r="G944" s="19" t="str">
        <f>IFERROR(__xludf.DUMMYFUNCTION("""COMPUTED_VALUE"""),"CV36")</f>
        <v>CV36</v>
      </c>
      <c r="H944" s="19" t="str">
        <f>IFERROR(__xludf.DUMMYFUNCTION("""COMPUTED_VALUE"""),"INCOSERV")</f>
        <v>INCOSERV</v>
      </c>
      <c r="I944" s="19" t="str">
        <f>IFERROR(__xludf.DUMMYFUNCTION("""COMPUTED_VALUE"""),"Asignada")</f>
        <v>Asignada</v>
      </c>
      <c r="J944" s="20">
        <f>IFERROR(__xludf.DUMMYFUNCTION("""COMPUTED_VALUE"""),45163.0)</f>
        <v>45163</v>
      </c>
      <c r="K944" s="19" t="str">
        <f>IFERROR(__xludf.DUMMYFUNCTION("""COMPUTED_VALUE"""),"Asignada")</f>
        <v>Asignada</v>
      </c>
      <c r="L944" s="20">
        <f>IFERROR(__xludf.DUMMYFUNCTION("""COMPUTED_VALUE"""),45191.0)</f>
        <v>45191</v>
      </c>
      <c r="M944" s="19" t="str">
        <f>IFERROR(__xludf.DUMMYFUNCTION("""COMPUTED_VALUE"""),"PP")</f>
        <v>PP</v>
      </c>
      <c r="N944" s="19" t="str">
        <f>IFERROR(__xludf.DUMMYFUNCTION("""COMPUTED_VALUE"""),"PRIORIDAD 2 Q4 2023 DICIEMBRE")</f>
        <v>PRIORIDAD 2 Q4 2023 DICIEMBRE</v>
      </c>
    </row>
    <row r="945" ht="15.75" customHeight="1">
      <c r="A945" s="19" t="str">
        <f>IFERROR(__xludf.DUMMYFUNCTION("""COMPUTED_VALUE"""),"AB_9971")</f>
        <v>AB_9971</v>
      </c>
      <c r="B945" s="19" t="str">
        <f>IFERROR(__xludf.DUMMYFUNCTION("""COMPUTED_VALUE"""),"AB_9971_B")</f>
        <v>AB_9971_B</v>
      </c>
      <c r="C945" s="19" t="str">
        <f>IFERROR(__xludf.DUMMYFUNCTION("""COMPUTED_VALUE"""),"TA9971")</f>
        <v>TA9971</v>
      </c>
      <c r="D945" s="19" t="str">
        <f>IFERROR(__xludf.DUMMYFUNCTION("""COMPUTED_VALUE"""),"Mirador Ruta 15")</f>
        <v>Mirador Ruta 15</v>
      </c>
      <c r="E945" s="19" t="str">
        <f>IFERROR(__xludf.DUMMYFUNCTION("""COMPUTED_VALUE"""),"DETENIDO COMPRA ESTRUCTURA")</f>
        <v>DETENIDO COMPRA ESTRUCTURA</v>
      </c>
      <c r="F945" s="19"/>
      <c r="G945" s="19" t="str">
        <f>IFERROR(__xludf.DUMMYFUNCTION("""COMPUTED_VALUE"""),"x")</f>
        <v>x</v>
      </c>
      <c r="H945" s="19" t="str">
        <f>IFERROR(__xludf.DUMMYFUNCTION("""COMPUTED_VALUE"""),"x")</f>
        <v>x</v>
      </c>
      <c r="I945" s="19" t="str">
        <f>IFERROR(__xludf.DUMMYFUNCTION("""COMPUTED_VALUE"""),"x")</f>
        <v>x</v>
      </c>
      <c r="J945" s="20" t="str">
        <f>IFERROR(__xludf.DUMMYFUNCTION("""COMPUTED_VALUE"""),"x")</f>
        <v>x</v>
      </c>
      <c r="K945" s="19" t="str">
        <f>IFERROR(__xludf.DUMMYFUNCTION("""COMPUTED_VALUE"""),"x")</f>
        <v>x</v>
      </c>
      <c r="L945" s="20" t="str">
        <f>IFERROR(__xludf.DUMMYFUNCTION("""COMPUTED_VALUE"""),"x")</f>
        <v>x</v>
      </c>
      <c r="M945" s="19" t="str">
        <f>IFERROR(__xludf.DUMMYFUNCTION("""COMPUTED_VALUE"""),"PP")</f>
        <v>PP</v>
      </c>
      <c r="N945" s="19" t="str">
        <f>IFERROR(__xludf.DUMMYFUNCTION("""COMPUTED_VALUE"""),"PRIORIDAD 2 Q4 2023 DICIEMBRE")</f>
        <v>PRIORIDAD 2 Q4 2023 DICIEMBRE</v>
      </c>
    </row>
    <row r="946" ht="15.75" customHeight="1">
      <c r="A946" s="19" t="str">
        <f>IFERROR(__xludf.DUMMYFUNCTION("""COMPUTED_VALUE"""),"AB_9972")</f>
        <v>AB_9972</v>
      </c>
      <c r="B946" s="19" t="str">
        <f>IFERROR(__xludf.DUMMYFUNCTION("""COMPUTED_VALUE"""),"AB_9972_A")</f>
        <v>AB_9972_A</v>
      </c>
      <c r="C946" s="19" t="str">
        <f>IFERROR(__xludf.DUMMYFUNCTION("""COMPUTED_VALUE"""),"TA9972")</f>
        <v>TA9972</v>
      </c>
      <c r="D946" s="19" t="str">
        <f>IFERROR(__xludf.DUMMYFUNCTION("""COMPUTED_VALUE"""),"Cruce A465")</f>
        <v>Cruce A465</v>
      </c>
      <c r="E946" s="19" t="str">
        <f>IFERROR(__xludf.DUMMYFUNCTION("""COMPUTED_VALUE"""),"SITIO ASIGNADO")</f>
        <v>SITIO ASIGNADO</v>
      </c>
      <c r="F946" s="19"/>
      <c r="G946" s="19" t="str">
        <f>IFERROR(__xludf.DUMMYFUNCTION("""COMPUTED_VALUE"""),"CV36")</f>
        <v>CV36</v>
      </c>
      <c r="H946" s="19" t="str">
        <f>IFERROR(__xludf.DUMMYFUNCTION("""COMPUTED_VALUE"""),"INCOSERV")</f>
        <v>INCOSERV</v>
      </c>
      <c r="I946" s="19" t="str">
        <f>IFERROR(__xludf.DUMMYFUNCTION("""COMPUTED_VALUE"""),"Asignada")</f>
        <v>Asignada</v>
      </c>
      <c r="J946" s="20">
        <f>IFERROR(__xludf.DUMMYFUNCTION("""COMPUTED_VALUE"""),45163.0)</f>
        <v>45163</v>
      </c>
      <c r="K946" s="19" t="str">
        <f>IFERROR(__xludf.DUMMYFUNCTION("""COMPUTED_VALUE"""),"Asignada")</f>
        <v>Asignada</v>
      </c>
      <c r="L946" s="20">
        <f>IFERROR(__xludf.DUMMYFUNCTION("""COMPUTED_VALUE"""),45191.0)</f>
        <v>45191</v>
      </c>
      <c r="M946" s="19" t="str">
        <f>IFERROR(__xludf.DUMMYFUNCTION("""COMPUTED_VALUE"""),"PP")</f>
        <v>PP</v>
      </c>
      <c r="N946" s="19" t="str">
        <f>IFERROR(__xludf.DUMMYFUNCTION("""COMPUTED_VALUE"""),"PRIORIDAD 1 Q3 2023 OCTUBRE")</f>
        <v>PRIORIDAD 1 Q3 2023 OCTUBRE</v>
      </c>
    </row>
    <row r="947" ht="15.75" customHeight="1">
      <c r="A947" s="19" t="str">
        <f>IFERROR(__xludf.DUMMYFUNCTION("""COMPUTED_VALUE"""),"AB_9973")</f>
        <v>AB_9973</v>
      </c>
      <c r="B947" s="19" t="str">
        <f>IFERROR(__xludf.DUMMYFUNCTION("""COMPUTED_VALUE"""),"AB_9973_C")</f>
        <v>AB_9973_C</v>
      </c>
      <c r="C947" s="19" t="str">
        <f>IFERROR(__xludf.DUMMYFUNCTION("""COMPUTED_VALUE"""),"TA9973")</f>
        <v>TA9973</v>
      </c>
      <c r="D947" s="19" t="str">
        <f>IFERROR(__xludf.DUMMYFUNCTION("""COMPUTED_VALUE"""),"Camio Cerro de Tapa")</f>
        <v>Camio Cerro de Tapa</v>
      </c>
      <c r="E947" s="19" t="str">
        <f>IFERROR(__xludf.DUMMYFUNCTION("""COMPUTED_VALUE"""),"DETENIDO SAC")</f>
        <v>DETENIDO SAC</v>
      </c>
      <c r="F947" s="19"/>
      <c r="G947" s="19" t="str">
        <f>IFERROR(__xludf.DUMMYFUNCTION("""COMPUTED_VALUE"""),"CV60")</f>
        <v>CV60</v>
      </c>
      <c r="H947" s="19" t="str">
        <f>IFERROR(__xludf.DUMMYFUNCTION("""COMPUTED_VALUE"""),"")</f>
        <v/>
      </c>
      <c r="I947" s="19" t="str">
        <f>IFERROR(__xludf.DUMMYFUNCTION("""COMPUTED_VALUE"""),"")</f>
        <v/>
      </c>
      <c r="J947" s="20" t="str">
        <f>IFERROR(__xludf.DUMMYFUNCTION("""COMPUTED_VALUE"""),"")</f>
        <v/>
      </c>
      <c r="K947" s="19" t="str">
        <f>IFERROR(__xludf.DUMMYFUNCTION("""COMPUTED_VALUE"""),"")</f>
        <v/>
      </c>
      <c r="L947" s="20" t="str">
        <f>IFERROR(__xludf.DUMMYFUNCTION("""COMPUTED_VALUE"""),"")</f>
        <v/>
      </c>
      <c r="M947" s="19" t="str">
        <f>IFERROR(__xludf.DUMMYFUNCTION("""COMPUTED_VALUE"""),"PP")</f>
        <v>PP</v>
      </c>
      <c r="N947" s="19" t="str">
        <f>IFERROR(__xludf.DUMMYFUNCTION("""COMPUTED_VALUE"""),"PRIORIDAD 3 Q1 2024 MARZO")</f>
        <v>PRIORIDAD 3 Q1 2024 MARZO</v>
      </c>
    </row>
    <row r="948" ht="15.75" customHeight="1">
      <c r="A948" s="19" t="str">
        <f>IFERROR(__xludf.DUMMYFUNCTION("""COMPUTED_VALUE"""),"AB_9974")</f>
        <v>AB_9974</v>
      </c>
      <c r="B948" s="19" t="str">
        <f>IFERROR(__xludf.DUMMYFUNCTION("""COMPUTED_VALUE"""),"AB_9974_A")</f>
        <v>AB_9974_A</v>
      </c>
      <c r="C948" s="19" t="str">
        <f>IFERROR(__xludf.DUMMYFUNCTION("""COMPUTED_VALUE"""),"TA9974")</f>
        <v>TA9974</v>
      </c>
      <c r="D948" s="19" t="str">
        <f>IFERROR(__xludf.DUMMYFUNCTION("""COMPUTED_VALUE"""),"Desierto Ruta 15")</f>
        <v>Desierto Ruta 15</v>
      </c>
      <c r="E948" s="19" t="str">
        <f>IFERROR(__xludf.DUMMYFUNCTION("""COMPUTED_VALUE"""),"SITIO RFC")</f>
        <v>SITIO RFC</v>
      </c>
      <c r="F948" s="19"/>
      <c r="G948" s="19" t="str">
        <f>IFERROR(__xludf.DUMMYFUNCTION("""COMPUTED_VALUE"""),"CV36")</f>
        <v>CV36</v>
      </c>
      <c r="H948" s="19" t="str">
        <f>IFERROR(__xludf.DUMMYFUNCTION("""COMPUTED_VALUE"""),"INCOSERV")</f>
        <v>INCOSERV</v>
      </c>
      <c r="I948" s="19" t="str">
        <f>IFERROR(__xludf.DUMMYFUNCTION("""COMPUTED_VALUE"""),"Terminada")</f>
        <v>Terminada</v>
      </c>
      <c r="J948" s="20">
        <f>IFERROR(__xludf.DUMMYFUNCTION("""COMPUTED_VALUE"""),45034.0)</f>
        <v>45034</v>
      </c>
      <c r="K948" s="19" t="str">
        <f>IFERROR(__xludf.DUMMYFUNCTION("""COMPUTED_VALUE"""),"Por pintar ")</f>
        <v>Por pintar </v>
      </c>
      <c r="L948" s="20">
        <f>IFERROR(__xludf.DUMMYFUNCTION("""COMPUTED_VALUE"""),45066.0)</f>
        <v>45066</v>
      </c>
      <c r="M948" s="19" t="str">
        <f>IFERROR(__xludf.DUMMYFUNCTION("""COMPUTED_VALUE"""),"PP")</f>
        <v>PP</v>
      </c>
      <c r="N948" s="19" t="str">
        <f>IFERROR(__xludf.DUMMYFUNCTION("""COMPUTED_VALUE"""),"PRIORIDAD 2 Q4 2023 DICIEMBRE")</f>
        <v>PRIORIDAD 2 Q4 2023 DICIEMBRE</v>
      </c>
    </row>
    <row r="949" ht="15.75" customHeight="1">
      <c r="A949" s="19" t="str">
        <f>IFERROR(__xludf.DUMMYFUNCTION("""COMPUTED_VALUE"""),"AB_9975")</f>
        <v>AB_9975</v>
      </c>
      <c r="B949" s="19" t="str">
        <f>IFERROR(__xludf.DUMMYFUNCTION("""COMPUTED_VALUE"""),"AB_9975_A")</f>
        <v>AB_9975_A</v>
      </c>
      <c r="C949" s="19" t="str">
        <f>IFERROR(__xludf.DUMMYFUNCTION("""COMPUTED_VALUE"""),"TA9975")</f>
        <v>TA9975</v>
      </c>
      <c r="D949" s="19" t="str">
        <f>IFERROR(__xludf.DUMMYFUNCTION("""COMPUTED_VALUE"""),"Mocha Ruta 15")</f>
        <v>Mocha Ruta 15</v>
      </c>
      <c r="E949" s="19" t="str">
        <f>IFERROR(__xludf.DUMMYFUNCTION("""COMPUTED_VALUE"""),"SITIO RFI")</f>
        <v>SITIO RFI</v>
      </c>
      <c r="F949" s="19" t="str">
        <f>IFERROR(__xludf.DUMMYFUNCTION("""COMPUTED_VALUE"""),"MONTAJE")</f>
        <v>MONTAJE</v>
      </c>
      <c r="G949" s="19" t="str">
        <f>IFERROR(__xludf.DUMMYFUNCTION("""COMPUTED_VALUE"""),"CV48")</f>
        <v>CV48</v>
      </c>
      <c r="H949" s="19" t="str">
        <f>IFERROR(__xludf.DUMMYFUNCTION("""COMPUTED_VALUE"""),"MER")</f>
        <v>MER</v>
      </c>
      <c r="I949" s="19" t="str">
        <f>IFERROR(__xludf.DUMMYFUNCTION("""COMPUTED_VALUE"""),"Entregada")</f>
        <v>Entregada</v>
      </c>
      <c r="J949" s="20">
        <f>IFERROR(__xludf.DUMMYFUNCTION("""COMPUTED_VALUE"""),45051.0)</f>
        <v>45051</v>
      </c>
      <c r="K949" s="19" t="str">
        <f>IFERROR(__xludf.DUMMYFUNCTION("""COMPUTED_VALUE"""),"Entregada")</f>
        <v>Entregada</v>
      </c>
      <c r="L949" s="20">
        <f>IFERROR(__xludf.DUMMYFUNCTION("""COMPUTED_VALUE"""),45054.0)</f>
        <v>45054</v>
      </c>
      <c r="M949" s="19" t="str">
        <f>IFERROR(__xludf.DUMMYFUNCTION("""COMPUTED_VALUE"""),"PP")</f>
        <v>PP</v>
      </c>
      <c r="N949" s="19" t="str">
        <f>IFERROR(__xludf.DUMMYFUNCTION("""COMPUTED_VALUE"""),"PRIORIDAD 2 Q4 2023 DICIEMBRE")</f>
        <v>PRIORIDAD 2 Q4 2023 DICIEMBRE</v>
      </c>
    </row>
    <row r="950" ht="15.75" customHeight="1">
      <c r="A950" s="19" t="str">
        <f>IFERROR(__xludf.DUMMYFUNCTION("""COMPUTED_VALUE"""),"AB_9976")</f>
        <v>AB_9976</v>
      </c>
      <c r="B950" s="19" t="str">
        <f>IFERROR(__xludf.DUMMYFUNCTION("""COMPUTED_VALUE"""),"AB_9976_C")</f>
        <v>AB_9976_C</v>
      </c>
      <c r="C950" s="19" t="str">
        <f>IFERROR(__xludf.DUMMYFUNCTION("""COMPUTED_VALUE"""),"TA9976")</f>
        <v>TA9976</v>
      </c>
      <c r="D950" s="19" t="str">
        <f>IFERROR(__xludf.DUMMYFUNCTION("""COMPUTED_VALUE"""),"Cuesta Chusmiza")</f>
        <v>Cuesta Chusmiza</v>
      </c>
      <c r="E950" s="19" t="str">
        <f>IFERROR(__xludf.DUMMYFUNCTION("""COMPUTED_VALUE"""),"SITIO PENDIENTE")</f>
        <v>SITIO PENDIENTE</v>
      </c>
      <c r="F950" s="19"/>
      <c r="G950" s="19" t="str">
        <f>IFERROR(__xludf.DUMMYFUNCTION("""COMPUTED_VALUE"""),"CV60")</f>
        <v>CV60</v>
      </c>
      <c r="H950" s="19" t="str">
        <f>IFERROR(__xludf.DUMMYFUNCTION("""COMPUTED_VALUE"""),"DEPROMET")</f>
        <v>DEPROMET</v>
      </c>
      <c r="I950" s="19" t="str">
        <f>IFERROR(__xludf.DUMMYFUNCTION("""COMPUTED_VALUE"""),"Terminada")</f>
        <v>Terminada</v>
      </c>
      <c r="J950" s="20">
        <f>IFERROR(__xludf.DUMMYFUNCTION("""COMPUTED_VALUE"""),45001.0)</f>
        <v>45001</v>
      </c>
      <c r="K950" s="19" t="str">
        <f>IFERROR(__xludf.DUMMYFUNCTION("""COMPUTED_VALUE"""),"Por pintar ")</f>
        <v>Por pintar </v>
      </c>
      <c r="L950" s="20">
        <f>IFERROR(__xludf.DUMMYFUNCTION("""COMPUTED_VALUE"""),45044.0)</f>
        <v>45044</v>
      </c>
      <c r="M950" s="19" t="str">
        <f>IFERROR(__xludf.DUMMYFUNCTION("""COMPUTED_VALUE"""),"PP")</f>
        <v>PP</v>
      </c>
      <c r="N950" s="19" t="str">
        <f>IFERROR(__xludf.DUMMYFUNCTION("""COMPUTED_VALUE"""),"PRIORIDAD 2 Q4 2023 DICIEMBRE")</f>
        <v>PRIORIDAD 2 Q4 2023 DICIEMBRE</v>
      </c>
    </row>
    <row r="951" ht="15.75" customHeight="1">
      <c r="A951" s="19" t="str">
        <f>IFERROR(__xludf.DUMMYFUNCTION("""COMPUTED_VALUE"""),"AB_9977")</f>
        <v>AB_9977</v>
      </c>
      <c r="B951" s="19" t="str">
        <f>IFERROR(__xludf.DUMMYFUNCTION("""COMPUTED_VALUE"""),"AB_9977_C")</f>
        <v>AB_9977_C</v>
      </c>
      <c r="C951" s="19" t="str">
        <f>IFERROR(__xludf.DUMMYFUNCTION("""COMPUTED_VALUE"""),"TA9977")</f>
        <v>TA9977</v>
      </c>
      <c r="D951" s="19" t="str">
        <f>IFERROR(__xludf.DUMMYFUNCTION("""COMPUTED_VALUE"""),"Camino A357")</f>
        <v>Camino A357</v>
      </c>
      <c r="E951" s="19" t="str">
        <f>IFERROR(__xludf.DUMMYFUNCTION("""COMPUTED_VALUE"""),"EN VALIDACION COMPRAS")</f>
        <v>EN VALIDACION COMPRAS</v>
      </c>
      <c r="F951" s="19"/>
      <c r="G951" s="19" t="str">
        <f>IFERROR(__xludf.DUMMYFUNCTION("""COMPUTED_VALUE"""),"AS48")</f>
        <v>AS48</v>
      </c>
      <c r="H951" s="19" t="str">
        <f>IFERROR(__xludf.DUMMYFUNCTION("""COMPUTED_VALUE"""),"ADM")</f>
        <v>ADM</v>
      </c>
      <c r="I951" s="19" t="str">
        <f>IFERROR(__xludf.DUMMYFUNCTION("""COMPUTED_VALUE"""),"Terminada")</f>
        <v>Terminada</v>
      </c>
      <c r="J951" s="20">
        <f>IFERROR(__xludf.DUMMYFUNCTION("""COMPUTED_VALUE"""),44750.0)</f>
        <v>44750</v>
      </c>
      <c r="K951" s="19" t="str">
        <f>IFERROR(__xludf.DUMMYFUNCTION("""COMPUTED_VALUE"""),"En fabricacion")</f>
        <v>En fabricacion</v>
      </c>
      <c r="L951" s="20">
        <f>IFERROR(__xludf.DUMMYFUNCTION("""COMPUTED_VALUE"""),44785.0)</f>
        <v>44785</v>
      </c>
      <c r="M951" s="19" t="str">
        <f>IFERROR(__xludf.DUMMYFUNCTION("""COMPUTED_VALUE"""),"PP")</f>
        <v>PP</v>
      </c>
      <c r="N951" s="19" t="str">
        <f>IFERROR(__xludf.DUMMYFUNCTION("""COMPUTED_VALUE"""),"PRIORIDAD 1 Q3 2023 OCTUBRE")</f>
        <v>PRIORIDAD 1 Q3 2023 OCTUBRE</v>
      </c>
    </row>
    <row r="952" ht="15.75" customHeight="1">
      <c r="A952" s="19" t="str">
        <f>IFERROR(__xludf.DUMMYFUNCTION("""COMPUTED_VALUE"""),"AB_9978")</f>
        <v>AB_9978</v>
      </c>
      <c r="B952" s="19" t="str">
        <f>IFERROR(__xludf.DUMMYFUNCTION("""COMPUTED_VALUE"""),"AB_9978_B")</f>
        <v>AB_9978_B</v>
      </c>
      <c r="C952" s="19" t="str">
        <f>IFERROR(__xludf.DUMMYFUNCTION("""COMPUTED_VALUE"""),"TA9978")</f>
        <v>TA9978</v>
      </c>
      <c r="D952" s="19" t="str">
        <f>IFERROR(__xludf.DUMMYFUNCTION("""COMPUTED_VALUE"""),"Cuesta Picavilque")</f>
        <v>Cuesta Picavilque</v>
      </c>
      <c r="E952" s="19" t="str">
        <f>IFERROR(__xludf.DUMMYFUNCTION("""COMPUTED_VALUE"""),"SITIO PENDIENTE")</f>
        <v>SITIO PENDIENTE</v>
      </c>
      <c r="F952" s="19"/>
      <c r="G952" s="19" t="str">
        <f>IFERROR(__xludf.DUMMYFUNCTION("""COMPUTED_VALUE"""),"CV48")</f>
        <v>CV48</v>
      </c>
      <c r="H952" s="19" t="str">
        <f>IFERROR(__xludf.DUMMYFUNCTION("""COMPUTED_VALUE"""),"")</f>
        <v/>
      </c>
      <c r="I952" s="19" t="str">
        <f>IFERROR(__xludf.DUMMYFUNCTION("""COMPUTED_VALUE"""),"")</f>
        <v/>
      </c>
      <c r="J952" s="20" t="str">
        <f>IFERROR(__xludf.DUMMYFUNCTION("""COMPUTED_VALUE"""),"")</f>
        <v/>
      </c>
      <c r="K952" s="19" t="str">
        <f>IFERROR(__xludf.DUMMYFUNCTION("""COMPUTED_VALUE"""),"")</f>
        <v/>
      </c>
      <c r="L952" s="20" t="str">
        <f>IFERROR(__xludf.DUMMYFUNCTION("""COMPUTED_VALUE"""),"")</f>
        <v/>
      </c>
      <c r="M952" s="19" t="str">
        <f>IFERROR(__xludf.DUMMYFUNCTION("""COMPUTED_VALUE"""),"PP")</f>
        <v>PP</v>
      </c>
      <c r="N952" s="19" t="str">
        <f>IFERROR(__xludf.DUMMYFUNCTION("""COMPUTED_VALUE"""),"PRIORIDAD 3 Q1 2024 MARZO")</f>
        <v>PRIORIDAD 3 Q1 2024 MARZO</v>
      </c>
    </row>
    <row r="953" ht="15.75" customHeight="1">
      <c r="A953" s="19" t="str">
        <f>IFERROR(__xludf.DUMMYFUNCTION("""COMPUTED_VALUE"""),"AB_9979")</f>
        <v>AB_9979</v>
      </c>
      <c r="B953" s="19" t="str">
        <f>IFERROR(__xludf.DUMMYFUNCTION("""COMPUTED_VALUE"""),"AB_9979_A")</f>
        <v>AB_9979_A</v>
      </c>
      <c r="C953" s="19" t="str">
        <f>IFERROR(__xludf.DUMMYFUNCTION("""COMPUTED_VALUE"""),"TA9979")</f>
        <v>TA9979</v>
      </c>
      <c r="D953" s="19" t="str">
        <f>IFERROR(__xludf.DUMMYFUNCTION("""COMPUTED_VALUE"""),"Camino Ancuaque")</f>
        <v>Camino Ancuaque</v>
      </c>
      <c r="E953" s="19" t="str">
        <f>IFERROR(__xludf.DUMMYFUNCTION("""COMPUTED_VALUE"""),"SITIO EN CONSTRUCCION")</f>
        <v>SITIO EN CONSTRUCCION</v>
      </c>
      <c r="F953" s="19" t="str">
        <f>IFERROR(__xludf.DUMMYFUNCTION("""COMPUTED_VALUE"""),"EXCAVACION")</f>
        <v>EXCAVACION</v>
      </c>
      <c r="G953" s="19" t="str">
        <f>IFERROR(__xludf.DUMMYFUNCTION("""COMPUTED_VALUE"""),"CV48")</f>
        <v>CV48</v>
      </c>
      <c r="H953" s="19" t="str">
        <f>IFERROR(__xludf.DUMMYFUNCTION("""COMPUTED_VALUE"""),"MER")</f>
        <v>MER</v>
      </c>
      <c r="I953" s="19" t="str">
        <f>IFERROR(__xludf.DUMMYFUNCTION("""COMPUTED_VALUE"""),"Terminada")</f>
        <v>Terminada</v>
      </c>
      <c r="J953" s="20">
        <f>IFERROR(__xludf.DUMMYFUNCTION("""COMPUTED_VALUE"""),45051.0)</f>
        <v>45051</v>
      </c>
      <c r="K953" s="19" t="str">
        <f>IFERROR(__xludf.DUMMYFUNCTION("""COMPUTED_VALUE"""),"Por pintar ")</f>
        <v>Por pintar </v>
      </c>
      <c r="L953" s="20">
        <f>IFERROR(__xludf.DUMMYFUNCTION("""COMPUTED_VALUE"""),45054.0)</f>
        <v>45054</v>
      </c>
      <c r="M953" s="19" t="str">
        <f>IFERROR(__xludf.DUMMYFUNCTION("""COMPUTED_VALUE"""),"PP")</f>
        <v>PP</v>
      </c>
      <c r="N953" s="19" t="str">
        <f>IFERROR(__xludf.DUMMYFUNCTION("""COMPUTED_VALUE"""),"PRIORIDAD 1 Q3 2023 OCTUBRE")</f>
        <v>PRIORIDAD 1 Q3 2023 OCTUBRE</v>
      </c>
    </row>
    <row r="954" ht="15.75" customHeight="1">
      <c r="A954" s="19" t="str">
        <f>IFERROR(__xludf.DUMMYFUNCTION("""COMPUTED_VALUE"""),"AB_9980")</f>
        <v>AB_9980</v>
      </c>
      <c r="B954" s="19" t="str">
        <f>IFERROR(__xludf.DUMMYFUNCTION("""COMPUTED_VALUE"""),"AB_9980_A")</f>
        <v>AB_9980_A</v>
      </c>
      <c r="C954" s="19" t="str">
        <f>IFERROR(__xludf.DUMMYFUNCTION("""COMPUTED_VALUE"""),"TA9980")</f>
        <v>TA9980</v>
      </c>
      <c r="D954" s="19" t="str">
        <f>IFERROR(__xludf.DUMMYFUNCTION("""COMPUTED_VALUE"""),"Mina de cerro Toroni")</f>
        <v>Mina de cerro Toroni</v>
      </c>
      <c r="E954" s="19" t="str">
        <f>IFERROR(__xludf.DUMMYFUNCTION("""COMPUTED_VALUE"""),"EN VALIDACION COMPRAS")</f>
        <v>EN VALIDACION COMPRAS</v>
      </c>
      <c r="F954" s="19"/>
      <c r="G954" s="19" t="str">
        <f>IFERROR(__xludf.DUMMYFUNCTION("""COMPUTED_VALUE"""),"CV36")</f>
        <v>CV36</v>
      </c>
      <c r="H954" s="19" t="str">
        <f>IFERROR(__xludf.DUMMYFUNCTION("""COMPUTED_VALUE"""),"MESPAR")</f>
        <v>MESPAR</v>
      </c>
      <c r="I954" s="19" t="str">
        <f>IFERROR(__xludf.DUMMYFUNCTION("""COMPUTED_VALUE"""),"Terminada")</f>
        <v>Terminada</v>
      </c>
      <c r="J954" s="20">
        <f>IFERROR(__xludf.DUMMYFUNCTION("""COMPUTED_VALUE"""),45118.0)</f>
        <v>45118</v>
      </c>
      <c r="K954" s="19" t="str">
        <f>IFERROR(__xludf.DUMMYFUNCTION("""COMPUTED_VALUE"""),"Por pintar ")</f>
        <v>Por pintar </v>
      </c>
      <c r="L954" s="20">
        <f>IFERROR(__xludf.DUMMYFUNCTION("""COMPUTED_VALUE"""),45128.0)</f>
        <v>45128</v>
      </c>
      <c r="M954" s="19" t="str">
        <f>IFERROR(__xludf.DUMMYFUNCTION("""COMPUTED_VALUE"""),"PP")</f>
        <v>PP</v>
      </c>
      <c r="N954" s="19" t="str">
        <f>IFERROR(__xludf.DUMMYFUNCTION("""COMPUTED_VALUE"""),"PRIORIDAD 1 Q3 2023 OCTUBRE")</f>
        <v>PRIORIDAD 1 Q3 2023 OCTUBRE</v>
      </c>
    </row>
    <row r="955" ht="15.75" customHeight="1">
      <c r="A955" s="19" t="str">
        <f>IFERROR(__xludf.DUMMYFUNCTION("""COMPUTED_VALUE"""),"AB_9981")</f>
        <v>AB_9981</v>
      </c>
      <c r="B955" s="19" t="str">
        <f>IFERROR(__xludf.DUMMYFUNCTION("""COMPUTED_VALUE"""),"AB_9981_A")</f>
        <v>AB_9981_A</v>
      </c>
      <c r="C955" s="19" t="str">
        <f>IFERROR(__xludf.DUMMYFUNCTION("""COMPUTED_VALUE"""),"TA9981")</f>
        <v>TA9981</v>
      </c>
      <c r="D955" s="19" t="str">
        <f>IFERROR(__xludf.DUMMYFUNCTION("""COMPUTED_VALUE"""),"Portezuelo Picavilque")</f>
        <v>Portezuelo Picavilque</v>
      </c>
      <c r="E955" s="19" t="str">
        <f>IFERROR(__xludf.DUMMYFUNCTION("""COMPUTED_VALUE"""),"SITIO ASIGNADO")</f>
        <v>SITIO ASIGNADO</v>
      </c>
      <c r="F955" s="19"/>
      <c r="G955" s="19" t="str">
        <f>IFERROR(__xludf.DUMMYFUNCTION("""COMPUTED_VALUE"""),"CV48")</f>
        <v>CV48</v>
      </c>
      <c r="H955" s="19" t="str">
        <f>IFERROR(__xludf.DUMMYFUNCTION("""COMPUTED_VALUE"""),"INCOSERV")</f>
        <v>INCOSERV</v>
      </c>
      <c r="I955" s="19" t="str">
        <f>IFERROR(__xludf.DUMMYFUNCTION("""COMPUTED_VALUE"""),"Terminada")</f>
        <v>Terminada</v>
      </c>
      <c r="J955" s="20">
        <f>IFERROR(__xludf.DUMMYFUNCTION("""COMPUTED_VALUE"""),45034.0)</f>
        <v>45034</v>
      </c>
      <c r="K955" s="19" t="str">
        <f>IFERROR(__xludf.DUMMYFUNCTION("""COMPUTED_VALUE"""),"Por pintar ")</f>
        <v>Por pintar </v>
      </c>
      <c r="L955" s="20">
        <f>IFERROR(__xludf.DUMMYFUNCTION("""COMPUTED_VALUE"""),45100.0)</f>
        <v>45100</v>
      </c>
      <c r="M955" s="19" t="str">
        <f>IFERROR(__xludf.DUMMYFUNCTION("""COMPUTED_VALUE"""),"PP")</f>
        <v>PP</v>
      </c>
      <c r="N955" s="19" t="str">
        <f>IFERROR(__xludf.DUMMYFUNCTION("""COMPUTED_VALUE"""),"PRIORIDAD 2 Q4 2023 DICIEMBRE")</f>
        <v>PRIORIDAD 2 Q4 2023 DICIEMBRE</v>
      </c>
    </row>
    <row r="956" ht="15.75" customHeight="1">
      <c r="A956" s="19" t="str">
        <f>IFERROR(__xludf.DUMMYFUNCTION("""COMPUTED_VALUE"""),"AB_9982")</f>
        <v>AB_9982</v>
      </c>
      <c r="B956" s="19" t="str">
        <f>IFERROR(__xludf.DUMMYFUNCTION("""COMPUTED_VALUE"""),"AB_9982_A")</f>
        <v>AB_9982_A</v>
      </c>
      <c r="C956" s="19" t="str">
        <f>IFERROR(__xludf.DUMMYFUNCTION("""COMPUTED_VALUE"""),"TA9982")</f>
        <v>TA9982</v>
      </c>
      <c r="D956" s="19" t="str">
        <f>IFERROR(__xludf.DUMMYFUNCTION("""COMPUTED_VALUE"""),"Campamento pampa Llacho")</f>
        <v>Campamento pampa Llacho</v>
      </c>
      <c r="E956" s="19" t="str">
        <f>IFERROR(__xludf.DUMMYFUNCTION("""COMPUTED_VALUE"""),"SITIO EN CONSTRUCCION")</f>
        <v>SITIO EN CONSTRUCCION</v>
      </c>
      <c r="F956" s="19"/>
      <c r="G956" s="19" t="str">
        <f>IFERROR(__xludf.DUMMYFUNCTION("""COMPUTED_VALUE"""),"AS60")</f>
        <v>AS60</v>
      </c>
      <c r="H956" s="19" t="str">
        <f>IFERROR(__xludf.DUMMYFUNCTION("""COMPUTED_VALUE"""),"JTI")</f>
        <v>JTI</v>
      </c>
      <c r="I956" s="19" t="str">
        <f>IFERROR(__xludf.DUMMYFUNCTION("""COMPUTED_VALUE"""),"Terminada")</f>
        <v>Terminada</v>
      </c>
      <c r="J956" s="20">
        <f>IFERROR(__xludf.DUMMYFUNCTION("""COMPUTED_VALUE"""),45034.0)</f>
        <v>45034</v>
      </c>
      <c r="K956" s="19" t="str">
        <f>IFERROR(__xludf.DUMMYFUNCTION("""COMPUTED_VALUE"""),"Por pintar ")</f>
        <v>Por pintar </v>
      </c>
      <c r="L956" s="20">
        <f>IFERROR(__xludf.DUMMYFUNCTION("""COMPUTED_VALUE"""),45037.0)</f>
        <v>45037</v>
      </c>
      <c r="M956" s="19" t="str">
        <f>IFERROR(__xludf.DUMMYFUNCTION("""COMPUTED_VALUE"""),"PP")</f>
        <v>PP</v>
      </c>
      <c r="N956" s="19" t="str">
        <f>IFERROR(__xludf.DUMMYFUNCTION("""COMPUTED_VALUE"""),"PRIORIDAD 2 Q4 2023 DICIEMBRE")</f>
        <v>PRIORIDAD 2 Q4 2023 DICIEMBRE</v>
      </c>
    </row>
    <row r="957" ht="15.75" customHeight="1">
      <c r="A957" s="19" t="str">
        <f>IFERROR(__xludf.DUMMYFUNCTION("""COMPUTED_VALUE"""),"AB_9983")</f>
        <v>AB_9983</v>
      </c>
      <c r="B957" s="19" t="str">
        <f>IFERROR(__xludf.DUMMYFUNCTION("""COMPUTED_VALUE"""),"AB_9983_A")</f>
        <v>AB_9983_A</v>
      </c>
      <c r="C957" s="19" t="str">
        <f>IFERROR(__xludf.DUMMYFUNCTION("""COMPUTED_VALUE"""),"TA9983")</f>
        <v>TA9983</v>
      </c>
      <c r="D957" s="19" t="str">
        <f>IFERROR(__xludf.DUMMYFUNCTION("""COMPUTED_VALUE"""),"Cerro Porquesa")</f>
        <v>Cerro Porquesa</v>
      </c>
      <c r="E957" s="19" t="str">
        <f>IFERROR(__xludf.DUMMYFUNCTION("""COMPUTED_VALUE"""),"SITIO ASIGNADO")</f>
        <v>SITIO ASIGNADO</v>
      </c>
      <c r="F957" s="19" t="str">
        <f>IFERROR(__xludf.DUMMYFUNCTION("""COMPUTED_VALUE"""),"EXCAVACION")</f>
        <v>EXCAVACION</v>
      </c>
      <c r="G957" s="19" t="str">
        <f>IFERROR(__xludf.DUMMYFUNCTION("""COMPUTED_VALUE"""),"CV48")</f>
        <v>CV48</v>
      </c>
      <c r="H957" s="19" t="str">
        <f>IFERROR(__xludf.DUMMYFUNCTION("""COMPUTED_VALUE"""),"MER")</f>
        <v>MER</v>
      </c>
      <c r="I957" s="19" t="str">
        <f>IFERROR(__xludf.DUMMYFUNCTION("""COMPUTED_VALUE"""),"Terminada")</f>
        <v>Terminada</v>
      </c>
      <c r="J957" s="20">
        <f>IFERROR(__xludf.DUMMYFUNCTION("""COMPUTED_VALUE"""),45051.0)</f>
        <v>45051</v>
      </c>
      <c r="K957" s="19" t="str">
        <f>IFERROR(__xludf.DUMMYFUNCTION("""COMPUTED_VALUE"""),"Por pintar ")</f>
        <v>Por pintar </v>
      </c>
      <c r="L957" s="20">
        <f>IFERROR(__xludf.DUMMYFUNCTION("""COMPUTED_VALUE"""),45054.0)</f>
        <v>45054</v>
      </c>
      <c r="M957" s="19" t="str">
        <f>IFERROR(__xludf.DUMMYFUNCTION("""COMPUTED_VALUE"""),"PP")</f>
        <v>PP</v>
      </c>
      <c r="N957" s="19" t="str">
        <f>IFERROR(__xludf.DUMMYFUNCTION("""COMPUTED_VALUE"""),"PRIORIDAD 1 Q3 2023 OCTUBRE")</f>
        <v>PRIORIDAD 1 Q3 2023 OCTUBRE</v>
      </c>
    </row>
    <row r="958" ht="15.75" customHeight="1">
      <c r="A958" s="19" t="str">
        <f>IFERROR(__xludf.DUMMYFUNCTION("""COMPUTED_VALUE"""),"AB_9984")</f>
        <v>AB_9984</v>
      </c>
      <c r="B958" s="19" t="str">
        <f>IFERROR(__xludf.DUMMYFUNCTION("""COMPUTED_VALUE"""),"AB_9984_A")</f>
        <v>AB_9984_A</v>
      </c>
      <c r="C958" s="19" t="str">
        <f>IFERROR(__xludf.DUMMYFUNCTION("""COMPUTED_VALUE"""),"TA9984")</f>
        <v>TA9984</v>
      </c>
      <c r="D958" s="19" t="str">
        <f>IFERROR(__xludf.DUMMYFUNCTION("""COMPUTED_VALUE"""),"Cerro Chocoluluni")</f>
        <v>Cerro Chocoluluni</v>
      </c>
      <c r="E958" s="19" t="str">
        <f>IFERROR(__xludf.DUMMYFUNCTION("""COMPUTED_VALUE"""),"DETENIDO PERTINENCIA")</f>
        <v>DETENIDO PERTINENCIA</v>
      </c>
      <c r="F958" s="19"/>
      <c r="G958" s="19" t="str">
        <f>IFERROR(__xludf.DUMMYFUNCTION("""COMPUTED_VALUE"""),"AS48")</f>
        <v>AS48</v>
      </c>
      <c r="H958" s="19" t="str">
        <f>IFERROR(__xludf.DUMMYFUNCTION("""COMPUTED_VALUE"""),"COMPRAS")</f>
        <v>COMPRAS</v>
      </c>
      <c r="I958" s="19"/>
      <c r="J958" s="20"/>
      <c r="K958" s="19"/>
      <c r="L958" s="20"/>
      <c r="M958" s="19" t="str">
        <f>IFERROR(__xludf.DUMMYFUNCTION("""COMPUTED_VALUE"""),"PP")</f>
        <v>PP</v>
      </c>
      <c r="N958" s="19" t="str">
        <f>IFERROR(__xludf.DUMMYFUNCTION("""COMPUTED_VALUE"""),"PRIORIDAD 3 Q1 2024 MARZO")</f>
        <v>PRIORIDAD 3 Q1 2024 MARZO</v>
      </c>
    </row>
    <row r="959" ht="15.75" customHeight="1">
      <c r="A959" s="19" t="str">
        <f>IFERROR(__xludf.DUMMYFUNCTION("""COMPUTED_VALUE"""),"AB_9985")</f>
        <v>AB_9985</v>
      </c>
      <c r="B959" s="19" t="str">
        <f>IFERROR(__xludf.DUMMYFUNCTION("""COMPUTED_VALUE"""),"AB_9985_B")</f>
        <v>AB_9985_B</v>
      </c>
      <c r="C959" s="19" t="str">
        <f>IFERROR(__xludf.DUMMYFUNCTION("""COMPUTED_VALUE"""),"TA9985")</f>
        <v>TA9985</v>
      </c>
      <c r="D959" s="19" t="str">
        <f>IFERROR(__xludf.DUMMYFUNCTION("""COMPUTED_VALUE"""),"Carcanal de Napa")</f>
        <v>Carcanal de Napa</v>
      </c>
      <c r="E959" s="19" t="str">
        <f>IFERROR(__xludf.DUMMYFUNCTION("""COMPUTED_VALUE"""),"SITIO EN CONSTRUCCION")</f>
        <v>SITIO EN CONSTRUCCION</v>
      </c>
      <c r="F959" s="19" t="str">
        <f>IFERROR(__xludf.DUMMYFUNCTION("""COMPUTED_VALUE"""),"ENFIERRADURA")</f>
        <v>ENFIERRADURA</v>
      </c>
      <c r="G959" s="19" t="str">
        <f>IFERROR(__xludf.DUMMYFUNCTION("""COMPUTED_VALUE"""),"AS60")</f>
        <v>AS60</v>
      </c>
      <c r="H959" s="19" t="str">
        <f>IFERROR(__xludf.DUMMYFUNCTION("""COMPUTED_VALUE"""),"ADM")</f>
        <v>ADM</v>
      </c>
      <c r="I959" s="19" t="str">
        <f>IFERROR(__xludf.DUMMYFUNCTION("""COMPUTED_VALUE"""),"Terminada")</f>
        <v>Terminada</v>
      </c>
      <c r="J959" s="20">
        <f>IFERROR(__xludf.DUMMYFUNCTION("""COMPUTED_VALUE"""),44750.0)</f>
        <v>44750</v>
      </c>
      <c r="K959" s="19" t="str">
        <f>IFERROR(__xludf.DUMMYFUNCTION("""COMPUTED_VALUE"""),"Terminada")</f>
        <v>Terminada</v>
      </c>
      <c r="L959" s="20">
        <f>IFERROR(__xludf.DUMMYFUNCTION("""COMPUTED_VALUE"""),44890.0)</f>
        <v>44890</v>
      </c>
      <c r="M959" s="19" t="str">
        <f>IFERROR(__xludf.DUMMYFUNCTION("""COMPUTED_VALUE"""),"PP")</f>
        <v>PP</v>
      </c>
      <c r="N959" s="19" t="str">
        <f>IFERROR(__xludf.DUMMYFUNCTION("""COMPUTED_VALUE"""),"PRIORIDAD 2 Q4 2023 DICIEMBRE")</f>
        <v>PRIORIDAD 2 Q4 2023 DICIEMBRE</v>
      </c>
    </row>
    <row r="960" ht="15.75" customHeight="1">
      <c r="A960" s="19" t="str">
        <f>IFERROR(__xludf.DUMMYFUNCTION("""COMPUTED_VALUE"""),"AB_9986")</f>
        <v>AB_9986</v>
      </c>
      <c r="B960" s="19" t="str">
        <f>IFERROR(__xludf.DUMMYFUNCTION("""COMPUTED_VALUE"""),"AB_9986_A")</f>
        <v>AB_9986_A</v>
      </c>
      <c r="C960" s="19" t="str">
        <f>IFERROR(__xludf.DUMMYFUNCTION("""COMPUTED_VALUE"""),"TA9986")</f>
        <v>TA9986</v>
      </c>
      <c r="D960" s="19" t="str">
        <f>IFERROR(__xludf.DUMMYFUNCTION("""COMPUTED_VALUE"""),"Bofedal de Coposa")</f>
        <v>Bofedal de Coposa</v>
      </c>
      <c r="E960" s="19" t="str">
        <f>IFERROR(__xludf.DUMMYFUNCTION("""COMPUTED_VALUE"""),"DETENIDO COMUNIDAD")</f>
        <v>DETENIDO COMUNIDAD</v>
      </c>
      <c r="F960" s="19" t="str">
        <f>IFERROR(__xludf.DUMMYFUNCTION("""COMPUTED_VALUE"""),"EXCAVACION")</f>
        <v>EXCAVACION</v>
      </c>
      <c r="G960" s="19" t="str">
        <f>IFERROR(__xludf.DUMMYFUNCTION("""COMPUTED_VALUE"""),"AS36")</f>
        <v>AS36</v>
      </c>
      <c r="H960" s="19" t="str">
        <f>IFERROR(__xludf.DUMMYFUNCTION("""COMPUTED_VALUE"""),"JTI")</f>
        <v>JTI</v>
      </c>
      <c r="I960" s="19" t="str">
        <f>IFERROR(__xludf.DUMMYFUNCTION("""COMPUTED_VALUE"""),"Terminada")</f>
        <v>Terminada</v>
      </c>
      <c r="J960" s="20">
        <f>IFERROR(__xludf.DUMMYFUNCTION("""COMPUTED_VALUE"""),45022.0)</f>
        <v>45022</v>
      </c>
      <c r="K960" s="19" t="str">
        <f>IFERROR(__xludf.DUMMYFUNCTION("""COMPUTED_VALUE"""),"Por pintar ")</f>
        <v>Por pintar </v>
      </c>
      <c r="L960" s="20">
        <f>IFERROR(__xludf.DUMMYFUNCTION("""COMPUTED_VALUE"""),45022.0)</f>
        <v>45022</v>
      </c>
      <c r="M960" s="19" t="str">
        <f>IFERROR(__xludf.DUMMYFUNCTION("""COMPUTED_VALUE"""),"PP")</f>
        <v>PP</v>
      </c>
      <c r="N960" s="19" t="str">
        <f>IFERROR(__xludf.DUMMYFUNCTION("""COMPUTED_VALUE"""),"PRIORIDAD 2 Q4 2023 DICIEMBRE")</f>
        <v>PRIORIDAD 2 Q4 2023 DICIEMBRE</v>
      </c>
    </row>
    <row r="961" ht="15.75" customHeight="1">
      <c r="A961" s="19" t="str">
        <f>IFERROR(__xludf.DUMMYFUNCTION("""COMPUTED_VALUE"""),"AB_9987")</f>
        <v>AB_9987</v>
      </c>
      <c r="B961" s="19" t="str">
        <f>IFERROR(__xludf.DUMMYFUNCTION("""COMPUTED_VALUE"""),"AB_9987_A")</f>
        <v>AB_9987_A</v>
      </c>
      <c r="C961" s="19" t="str">
        <f>IFERROR(__xludf.DUMMYFUNCTION("""COMPUTED_VALUE"""),"TA9987")</f>
        <v>TA9987</v>
      </c>
      <c r="D961" s="19" t="str">
        <f>IFERROR(__xludf.DUMMYFUNCTION("""COMPUTED_VALUE"""),"Aeropuerto Hotel Pabellon del Inca")</f>
        <v>Aeropuerto Hotel Pabellon del Inca</v>
      </c>
      <c r="E961" s="19" t="str">
        <f>IFERROR(__xludf.DUMMYFUNCTION("""COMPUTED_VALUE"""),"DETENIDO FUERA DE PLAN")</f>
        <v>DETENIDO FUERA DE PLAN</v>
      </c>
      <c r="F961" s="19"/>
      <c r="G961" s="19" t="str">
        <f>IFERROR(__xludf.DUMMYFUNCTION("""COMPUTED_VALUE"""),"x")</f>
        <v>x</v>
      </c>
      <c r="H961" s="19" t="str">
        <f>IFERROR(__xludf.DUMMYFUNCTION("""COMPUTED_VALUE"""),"x")</f>
        <v>x</v>
      </c>
      <c r="I961" s="19" t="str">
        <f>IFERROR(__xludf.DUMMYFUNCTION("""COMPUTED_VALUE"""),"x")</f>
        <v>x</v>
      </c>
      <c r="J961" s="20" t="str">
        <f>IFERROR(__xludf.DUMMYFUNCTION("""COMPUTED_VALUE"""),"x")</f>
        <v>x</v>
      </c>
      <c r="K961" s="19" t="str">
        <f>IFERROR(__xludf.DUMMYFUNCTION("""COMPUTED_VALUE"""),"x")</f>
        <v>x</v>
      </c>
      <c r="L961" s="20" t="str">
        <f>IFERROR(__xludf.DUMMYFUNCTION("""COMPUTED_VALUE"""),"x")</f>
        <v>x</v>
      </c>
      <c r="M961" s="19" t="str">
        <f>IFERROR(__xludf.DUMMYFUNCTION("""COMPUTED_VALUE"""),"PP")</f>
        <v>PP</v>
      </c>
      <c r="N961" s="19" t="str">
        <f>IFERROR(__xludf.DUMMYFUNCTION("""COMPUTED_VALUE"""),"PRIORIDAD 2 Q4 2023 DICIEMBRE")</f>
        <v>PRIORIDAD 2 Q4 2023 DICIEMBRE</v>
      </c>
    </row>
    <row r="962" ht="15.75" customHeight="1">
      <c r="A962" s="19" t="str">
        <f>IFERROR(__xludf.DUMMYFUNCTION("""COMPUTED_VALUE"""),"AB_9988")</f>
        <v>AB_9988</v>
      </c>
      <c r="B962" s="19" t="str">
        <f>IFERROR(__xludf.DUMMYFUNCTION("""COMPUTED_VALUE"""),"AB_9988_A")</f>
        <v>AB_9988_A</v>
      </c>
      <c r="C962" s="19" t="str">
        <f>IFERROR(__xludf.DUMMYFUNCTION("""COMPUTED_VALUE"""),"TA9988")</f>
        <v>TA9988</v>
      </c>
      <c r="D962" s="19" t="str">
        <f>IFERROR(__xludf.DUMMYFUNCTION("""COMPUTED_VALUE"""),"Cerro Pabellon del Inca")</f>
        <v>Cerro Pabellon del Inca</v>
      </c>
      <c r="E962" s="19" t="str">
        <f>IFERROR(__xludf.DUMMYFUNCTION("""COMPUTED_VALUE"""),"DETENIDO FUERA DE PLAN")</f>
        <v>DETENIDO FUERA DE PLAN</v>
      </c>
      <c r="F962" s="19"/>
      <c r="G962" s="19" t="str">
        <f>IFERROR(__xludf.DUMMYFUNCTION("""COMPUTED_VALUE"""),"x")</f>
        <v>x</v>
      </c>
      <c r="H962" s="19" t="str">
        <f>IFERROR(__xludf.DUMMYFUNCTION("""COMPUTED_VALUE"""),"x")</f>
        <v>x</v>
      </c>
      <c r="I962" s="19" t="str">
        <f>IFERROR(__xludf.DUMMYFUNCTION("""COMPUTED_VALUE"""),"x")</f>
        <v>x</v>
      </c>
      <c r="J962" s="20" t="str">
        <f>IFERROR(__xludf.DUMMYFUNCTION("""COMPUTED_VALUE"""),"x")</f>
        <v>x</v>
      </c>
      <c r="K962" s="19" t="str">
        <f>IFERROR(__xludf.DUMMYFUNCTION("""COMPUTED_VALUE"""),"x")</f>
        <v>x</v>
      </c>
      <c r="L962" s="20" t="str">
        <f>IFERROR(__xludf.DUMMYFUNCTION("""COMPUTED_VALUE"""),"x")</f>
        <v>x</v>
      </c>
      <c r="M962" s="19" t="str">
        <f>IFERROR(__xludf.DUMMYFUNCTION("""COMPUTED_VALUE"""),"PP")</f>
        <v>PP</v>
      </c>
      <c r="N962" s="19" t="str">
        <f>IFERROR(__xludf.DUMMYFUNCTION("""COMPUTED_VALUE"""),"PRIORIDAD 2 Q4 2023 DICIEMBRE")</f>
        <v>PRIORIDAD 2 Q4 2023 DICIEMBRE</v>
      </c>
    </row>
    <row r="963" ht="15.75" customHeight="1">
      <c r="A963" s="19" t="str">
        <f>IFERROR(__xludf.DUMMYFUNCTION("""COMPUTED_VALUE"""),"AB_9989")</f>
        <v>AB_9989</v>
      </c>
      <c r="B963" s="19" t="str">
        <f>IFERROR(__xludf.DUMMYFUNCTION("""COMPUTED_VALUE"""),"AB_9989_A")</f>
        <v>AB_9989_A</v>
      </c>
      <c r="C963" s="19" t="str">
        <f>IFERROR(__xludf.DUMMYFUNCTION("""COMPUTED_VALUE"""),"TA9989")</f>
        <v>TA9989</v>
      </c>
      <c r="D963" s="19" t="str">
        <f>IFERROR(__xludf.DUMMYFUNCTION("""COMPUTED_VALUE"""),"Salar de Michincha")</f>
        <v>Salar de Michincha</v>
      </c>
      <c r="E963" s="19" t="str">
        <f>IFERROR(__xludf.DUMMYFUNCTION("""COMPUTED_VALUE"""),"DETENIDO FUERA DE PLAN")</f>
        <v>DETENIDO FUERA DE PLAN</v>
      </c>
      <c r="F963" s="19"/>
      <c r="G963" s="19" t="str">
        <f>IFERROR(__xludf.DUMMYFUNCTION("""COMPUTED_VALUE"""),"x")</f>
        <v>x</v>
      </c>
      <c r="H963" s="19" t="str">
        <f>IFERROR(__xludf.DUMMYFUNCTION("""COMPUTED_VALUE"""),"x")</f>
        <v>x</v>
      </c>
      <c r="I963" s="19" t="str">
        <f>IFERROR(__xludf.DUMMYFUNCTION("""COMPUTED_VALUE"""),"x")</f>
        <v>x</v>
      </c>
      <c r="J963" s="20" t="str">
        <f>IFERROR(__xludf.DUMMYFUNCTION("""COMPUTED_VALUE"""),"x")</f>
        <v>x</v>
      </c>
      <c r="K963" s="19" t="str">
        <f>IFERROR(__xludf.DUMMYFUNCTION("""COMPUTED_VALUE"""),"x")</f>
        <v>x</v>
      </c>
      <c r="L963" s="20" t="str">
        <f>IFERROR(__xludf.DUMMYFUNCTION("""COMPUTED_VALUE"""),"x")</f>
        <v>x</v>
      </c>
      <c r="M963" s="19" t="str">
        <f>IFERROR(__xludf.DUMMYFUNCTION("""COMPUTED_VALUE"""),"PP")</f>
        <v>PP</v>
      </c>
      <c r="N963" s="19" t="str">
        <f>IFERROR(__xludf.DUMMYFUNCTION("""COMPUTED_VALUE"""),"PRIORIDAD 2 Q4 2023 DICIEMBRE")</f>
        <v>PRIORIDAD 2 Q4 2023 DICIEMBRE</v>
      </c>
    </row>
    <row r="964" ht="15.75" customHeight="1">
      <c r="A964" s="19" t="str">
        <f>IFERROR(__xludf.DUMMYFUNCTION("""COMPUTED_VALUE"""),"AB_9990")</f>
        <v>AB_9990</v>
      </c>
      <c r="B964" s="19" t="str">
        <f>IFERROR(__xludf.DUMMYFUNCTION("""COMPUTED_VALUE"""),"AB_9990_B")</f>
        <v>AB_9990_B</v>
      </c>
      <c r="C964" s="19" t="str">
        <f>IFERROR(__xludf.DUMMYFUNCTION("""COMPUTED_VALUE"""),"TA9990")</f>
        <v>TA9990</v>
      </c>
      <c r="D964" s="19" t="str">
        <f>IFERROR(__xludf.DUMMYFUNCTION("""COMPUTED_VALUE"""),"Volcan Michincha")</f>
        <v>Volcan Michincha</v>
      </c>
      <c r="E964" s="19" t="str">
        <f>IFERROR(__xludf.DUMMYFUNCTION("""COMPUTED_VALUE"""),"DETENIDO SAC")</f>
        <v>DETENIDO SAC</v>
      </c>
      <c r="F964" s="19"/>
      <c r="G964" s="19" t="str">
        <f>IFERROR(__xludf.DUMMYFUNCTION("""COMPUTED_VALUE"""),"CV36")</f>
        <v>CV36</v>
      </c>
      <c r="H964" s="19" t="str">
        <f>IFERROR(__xludf.DUMMYFUNCTION("""COMPUTED_VALUE"""),"INGENIUS")</f>
        <v>INGENIUS</v>
      </c>
      <c r="I964" s="19" t="str">
        <f>IFERROR(__xludf.DUMMYFUNCTION("""COMPUTED_VALUE"""),"Terminada")</f>
        <v>Terminada</v>
      </c>
      <c r="J964" s="20">
        <f>IFERROR(__xludf.DUMMYFUNCTION("""COMPUTED_VALUE"""),45041.0)</f>
        <v>45041</v>
      </c>
      <c r="K964" s="19" t="str">
        <f>IFERROR(__xludf.DUMMYFUNCTION("""COMPUTED_VALUE"""),"Por pintar ")</f>
        <v>Por pintar </v>
      </c>
      <c r="L964" s="20">
        <f>IFERROR(__xludf.DUMMYFUNCTION("""COMPUTED_VALUE"""),45110.0)</f>
        <v>45110</v>
      </c>
      <c r="M964" s="19" t="str">
        <f>IFERROR(__xludf.DUMMYFUNCTION("""COMPUTED_VALUE"""),"PP")</f>
        <v>PP</v>
      </c>
      <c r="N964" s="19" t="str">
        <f>IFERROR(__xludf.DUMMYFUNCTION("""COMPUTED_VALUE"""),"PRIORIDAD 2 Q4 2023 DICIEMBRE")</f>
        <v>PRIORIDAD 2 Q4 2023 DICIEMBRE</v>
      </c>
    </row>
    <row r="965" ht="15.75" customHeight="1">
      <c r="A965" s="19" t="str">
        <f>IFERROR(__xludf.DUMMYFUNCTION("""COMPUTED_VALUE"""),"AB_9991")</f>
        <v>AB_9991</v>
      </c>
      <c r="B965" s="19" t="str">
        <f>IFERROR(__xludf.DUMMYFUNCTION("""COMPUTED_VALUE"""),"AB_9991_C")</f>
        <v>AB_9991_C</v>
      </c>
      <c r="C965" s="19" t="str">
        <f>IFERROR(__xludf.DUMMYFUNCTION("""COMPUTED_VALUE"""),"TA9991")</f>
        <v>TA9991</v>
      </c>
      <c r="D965" s="19" t="str">
        <f>IFERROR(__xludf.DUMMYFUNCTION("""COMPUTED_VALUE"""),"Cerro Huailla occidental")</f>
        <v>Cerro Huailla occidental</v>
      </c>
      <c r="E965" s="19" t="str">
        <f>IFERROR(__xludf.DUMMYFUNCTION("""COMPUTED_VALUE"""),"DETENIDO COMPRA ESTRUCTURA")</f>
        <v>DETENIDO COMPRA ESTRUCTURA</v>
      </c>
      <c r="F965" s="19"/>
      <c r="G965" s="19" t="str">
        <f>IFERROR(__xludf.DUMMYFUNCTION("""COMPUTED_VALUE"""),"AS72")</f>
        <v>AS72</v>
      </c>
      <c r="H965" s="19" t="str">
        <f>IFERROR(__xludf.DUMMYFUNCTION("""COMPUTED_VALUE"""),"COMPRAS")</f>
        <v>COMPRAS</v>
      </c>
      <c r="I965" s="19"/>
      <c r="J965" s="19"/>
      <c r="K965" s="19"/>
      <c r="L965" s="19"/>
      <c r="M965" s="19" t="str">
        <f>IFERROR(__xludf.DUMMYFUNCTION("""COMPUTED_VALUE"""),"PP")</f>
        <v>PP</v>
      </c>
      <c r="N965" s="19" t="str">
        <f>IFERROR(__xludf.DUMMYFUNCTION("""COMPUTED_VALUE"""),"PRIORIDAD 2 Q4 2023 DICIEMBRE")</f>
        <v>PRIORIDAD 2 Q4 2023 DICIEMBRE</v>
      </c>
    </row>
    <row r="966" ht="15.75" customHeight="1">
      <c r="A966" s="19" t="str">
        <f>IFERROR(__xludf.DUMMYFUNCTION("""COMPUTED_VALUE"""),"AB_9992")</f>
        <v>AB_9992</v>
      </c>
      <c r="B966" s="19" t="str">
        <f>IFERROR(__xludf.DUMMYFUNCTION("""COMPUTED_VALUE"""),"AB_9992_B")</f>
        <v>AB_9992_B</v>
      </c>
      <c r="C966" s="19" t="str">
        <f>IFERROR(__xludf.DUMMYFUNCTION("""COMPUTED_VALUE"""),"TA9992")</f>
        <v>TA9992</v>
      </c>
      <c r="D966" s="19" t="str">
        <f>IFERROR(__xludf.DUMMYFUNCTION("""COMPUTED_VALUE"""),"Pabellon de Pica")</f>
        <v>Pabellon de Pica</v>
      </c>
      <c r="E966" s="19" t="str">
        <f>IFERROR(__xludf.DUMMYFUNCTION("""COMPUTED_VALUE"""),"SITIO RFC")</f>
        <v>SITIO RFC</v>
      </c>
      <c r="F966" s="19"/>
      <c r="G966" s="19" t="str">
        <f>IFERROR(__xludf.DUMMYFUNCTION("""COMPUTED_VALUE"""),"CV36")</f>
        <v>CV36</v>
      </c>
      <c r="H966" s="19" t="str">
        <f>IFERROR(__xludf.DUMMYFUNCTION("""COMPUTED_VALUE"""),"INGENIUS")</f>
        <v>INGENIUS</v>
      </c>
      <c r="I966" s="19" t="str">
        <f>IFERROR(__xludf.DUMMYFUNCTION("""COMPUTED_VALUE"""),"Terminada")</f>
        <v>Terminada</v>
      </c>
      <c r="J966" s="20">
        <f>IFERROR(__xludf.DUMMYFUNCTION("""COMPUTED_VALUE"""),45041.0)</f>
        <v>45041</v>
      </c>
      <c r="K966" s="19" t="str">
        <f>IFERROR(__xludf.DUMMYFUNCTION("""COMPUTED_VALUE"""),"Por pintar ")</f>
        <v>Por pintar </v>
      </c>
      <c r="L966" s="20">
        <f>IFERROR(__xludf.DUMMYFUNCTION("""COMPUTED_VALUE"""),45110.0)</f>
        <v>45110</v>
      </c>
      <c r="M966" s="19" t="str">
        <f>IFERROR(__xludf.DUMMYFUNCTION("""COMPUTED_VALUE"""),"PP")</f>
        <v>PP</v>
      </c>
      <c r="N966" s="19" t="str">
        <f>IFERROR(__xludf.DUMMYFUNCTION("""COMPUTED_VALUE"""),"PRIORIDAD 2 Q4 2023 DICIEMBRE")</f>
        <v>PRIORIDAD 2 Q4 2023 DICIEMBRE</v>
      </c>
    </row>
    <row r="967" ht="15.75" customHeight="1">
      <c r="A967" s="19" t="str">
        <f>IFERROR(__xludf.DUMMYFUNCTION("""COMPUTED_VALUE"""),"AB_9994")</f>
        <v>AB_9994</v>
      </c>
      <c r="B967" s="19" t="str">
        <f>IFERROR(__xludf.DUMMYFUNCTION("""COMPUTED_VALUE"""),"AB_9994_A")</f>
        <v>AB_9994_A</v>
      </c>
      <c r="C967" s="19" t="str">
        <f>IFERROR(__xludf.DUMMYFUNCTION("""COMPUTED_VALUE"""),"TA9994")</f>
        <v>TA9994</v>
      </c>
      <c r="D967" s="19" t="str">
        <f>IFERROR(__xludf.DUMMYFUNCTION("""COMPUTED_VALUE"""),"Aldea de los Piratas")</f>
        <v>Aldea de los Piratas</v>
      </c>
      <c r="E967" s="19" t="str">
        <f>IFERROR(__xludf.DUMMYFUNCTION("""COMPUTED_VALUE"""),"SITIO PENDIENTE")</f>
        <v>SITIO PENDIENTE</v>
      </c>
      <c r="F967" s="19"/>
      <c r="G967" s="19" t="str">
        <f>IFERROR(__xludf.DUMMYFUNCTION("""COMPUTED_VALUE"""),"MP R40")</f>
        <v>MP R40</v>
      </c>
      <c r="H967" s="19" t="str">
        <f>IFERROR(__xludf.DUMMYFUNCTION("""COMPUTED_VALUE"""),"COMPRAS")</f>
        <v>COMPRAS</v>
      </c>
      <c r="I967" s="19"/>
      <c r="J967" s="19"/>
      <c r="K967" s="19"/>
      <c r="L967" s="19"/>
      <c r="M967" s="19" t="str">
        <f>IFERROR(__xludf.DUMMYFUNCTION("""COMPUTED_VALUE"""),"PP")</f>
        <v>PP</v>
      </c>
      <c r="N967" s="19" t="str">
        <f>IFERROR(__xludf.DUMMYFUNCTION("""COMPUTED_VALUE"""),"PRIORIDAD 2 Q4 2023 DICIEMBRE")</f>
        <v>PRIORIDAD 2 Q4 2023 DICIEMBRE</v>
      </c>
    </row>
    <row r="968" ht="15.75" customHeight="1">
      <c r="A968" s="19" t="str">
        <f>IFERROR(__xludf.DUMMYFUNCTION("""COMPUTED_VALUE"""),"AB_9995")</f>
        <v>AB_9995</v>
      </c>
      <c r="B968" s="19" t="str">
        <f>IFERROR(__xludf.DUMMYFUNCTION("""COMPUTED_VALUE"""),"AB_9995_B")</f>
        <v>AB_9995_B</v>
      </c>
      <c r="C968" s="19" t="str">
        <f>IFERROR(__xludf.DUMMYFUNCTION("""COMPUTED_VALUE"""),"TA9995")</f>
        <v>TA9995</v>
      </c>
      <c r="D968" s="19" t="str">
        <f>IFERROR(__xludf.DUMMYFUNCTION("""COMPUTED_VALUE"""),"Balneario Yapes")</f>
        <v>Balneario Yapes</v>
      </c>
      <c r="E968" s="19" t="str">
        <f>IFERROR(__xludf.DUMMYFUNCTION("""COMPUTED_VALUE"""),"SITIO RFI")</f>
        <v>SITIO RFI</v>
      </c>
      <c r="F968" s="19" t="str">
        <f>IFERROR(__xludf.DUMMYFUNCTION("""COMPUTED_VALUE"""),"RFI")</f>
        <v>RFI</v>
      </c>
      <c r="G968" s="19" t="str">
        <f>IFERROR(__xludf.DUMMYFUNCTION("""COMPUTED_VALUE"""),"AS30")</f>
        <v>AS30</v>
      </c>
      <c r="H968" s="19" t="str">
        <f>IFERROR(__xludf.DUMMYFUNCTION("""COMPUTED_VALUE"""),"METALING")</f>
        <v>METALING</v>
      </c>
      <c r="I968" s="19" t="str">
        <f>IFERROR(__xludf.DUMMYFUNCTION("""COMPUTED_VALUE"""),"Entregada")</f>
        <v>Entregada</v>
      </c>
      <c r="J968" s="20">
        <f>IFERROR(__xludf.DUMMYFUNCTION("""COMPUTED_VALUE"""),44747.0)</f>
        <v>44747</v>
      </c>
      <c r="K968" s="19" t="str">
        <f>IFERROR(__xludf.DUMMYFUNCTION("""COMPUTED_VALUE"""),"Entregada")</f>
        <v>Entregada</v>
      </c>
      <c r="L968" s="20">
        <f>IFERROR(__xludf.DUMMYFUNCTION("""COMPUTED_VALUE"""),44764.0)</f>
        <v>44764</v>
      </c>
      <c r="M968" s="19" t="str">
        <f>IFERROR(__xludf.DUMMYFUNCTION("""COMPUTED_VALUE"""),"PP")</f>
        <v>PP</v>
      </c>
      <c r="N968" s="19" t="str">
        <f>IFERROR(__xludf.DUMMYFUNCTION("""COMPUTED_VALUE"""),"PRIORIDAD 2 Q4 2023 DICIEMBRE")</f>
        <v>PRIORIDAD 2 Q4 2023 DICIEMBRE</v>
      </c>
    </row>
    <row r="969" ht="15.75" customHeight="1">
      <c r="A969" s="19" t="str">
        <f>IFERROR(__xludf.DUMMYFUNCTION("""COMPUTED_VALUE"""),"AB_9996")</f>
        <v>AB_9996</v>
      </c>
      <c r="B969" s="19" t="str">
        <f>IFERROR(__xludf.DUMMYFUNCTION("""COMPUTED_VALUE"""),"AB_9996_A")</f>
        <v>AB_9996_A</v>
      </c>
      <c r="C969" s="19" t="str">
        <f>IFERROR(__xludf.DUMMYFUNCTION("""COMPUTED_VALUE"""),"TA9996")</f>
        <v>TA9996</v>
      </c>
      <c r="D969" s="19" t="str">
        <f>IFERROR(__xludf.DUMMYFUNCTION("""COMPUTED_VALUE"""),"Punta Blanca")</f>
        <v>Punta Blanca</v>
      </c>
      <c r="E969" s="19" t="str">
        <f>IFERROR(__xludf.DUMMYFUNCTION("""COMPUTED_VALUE"""),"SITIO EN CONSTRUCCION")</f>
        <v>SITIO EN CONSTRUCCION</v>
      </c>
      <c r="F969" s="19" t="str">
        <f>IFERROR(__xludf.DUMMYFUNCTION("""COMPUTED_VALUE"""),"EXCAVACION")</f>
        <v>EXCAVACION</v>
      </c>
      <c r="G969" s="19" t="str">
        <f>IFERROR(__xludf.DUMMYFUNCTION("""COMPUTED_VALUE"""),"CV60")</f>
        <v>CV60</v>
      </c>
      <c r="H969" s="19" t="str">
        <f>IFERROR(__xludf.DUMMYFUNCTION("""COMPUTED_VALUE"""),"DEPROMET")</f>
        <v>DEPROMET</v>
      </c>
      <c r="I969" s="19" t="str">
        <f>IFERROR(__xludf.DUMMYFUNCTION("""COMPUTED_VALUE"""),"Terminada")</f>
        <v>Terminada</v>
      </c>
      <c r="J969" s="20">
        <f>IFERROR(__xludf.DUMMYFUNCTION("""COMPUTED_VALUE"""),45001.0)</f>
        <v>45001</v>
      </c>
      <c r="K969" s="19" t="str">
        <f>IFERROR(__xludf.DUMMYFUNCTION("""COMPUTED_VALUE"""),"Por pintar ")</f>
        <v>Por pintar </v>
      </c>
      <c r="L969" s="20">
        <f>IFERROR(__xludf.DUMMYFUNCTION("""COMPUTED_VALUE"""),45027.0)</f>
        <v>45027</v>
      </c>
      <c r="M969" s="19" t="str">
        <f>IFERROR(__xludf.DUMMYFUNCTION("""COMPUTED_VALUE"""),"PP")</f>
        <v>PP</v>
      </c>
      <c r="N969" s="19" t="str">
        <f>IFERROR(__xludf.DUMMYFUNCTION("""COMPUTED_VALUE"""),"PRIORIDAD 2 Q4 2023 DICIEMBRE")</f>
        <v>PRIORIDAD 2 Q4 2023 DICIEMBRE</v>
      </c>
    </row>
    <row r="970" ht="15.75" customHeight="1">
      <c r="A970" s="19" t="str">
        <f>IFERROR(__xludf.DUMMYFUNCTION("""COMPUTED_VALUE"""),"AB_0133")</f>
        <v>AB_0133</v>
      </c>
      <c r="B970" s="19" t="str">
        <f>IFERROR(__xludf.DUMMYFUNCTION("""COMPUTED_VALUE"""),"AB_0133_B")</f>
        <v>AB_0133_B</v>
      </c>
      <c r="C970" s="19" t="str">
        <f>IFERROR(__xludf.DUMMYFUNCTION("""COMPUTED_VALUE"""),"VA0133")</f>
        <v>VA0133</v>
      </c>
      <c r="D970" s="19" t="str">
        <f>IFERROR(__xludf.DUMMYFUNCTION("""COMPUTED_VALUE"""),"Mataveri")</f>
        <v>Mataveri</v>
      </c>
      <c r="E970" s="19" t="str">
        <f>IFERROR(__xludf.DUMMYFUNCTION("""COMPUTED_VALUE"""),"SITIO FIRMADO")</f>
        <v>SITIO FIRMADO</v>
      </c>
      <c r="F970" s="19"/>
      <c r="G970" s="19" t="str">
        <f>IFERROR(__xludf.DUMMYFUNCTION("""COMPUTED_VALUE"""),"MP R12")</f>
        <v>MP R12</v>
      </c>
      <c r="H970" s="19" t="str">
        <f>IFERROR(__xludf.DUMMYFUNCTION("""COMPUTED_VALUE"""),"INICIATIVA")</f>
        <v>INICIATIVA</v>
      </c>
      <c r="I970" s="19" t="str">
        <f>IFERROR(__xludf.DUMMYFUNCTION("""COMPUTED_VALUE"""),"Asignada")</f>
        <v>Asignada</v>
      </c>
      <c r="J970" s="20">
        <f>IFERROR(__xludf.DUMMYFUNCTION("""COMPUTED_VALUE"""),45072.0)</f>
        <v>45072</v>
      </c>
      <c r="K970" s="19" t="str">
        <f>IFERROR(__xludf.DUMMYFUNCTION("""COMPUTED_VALUE"""),"Asignada")</f>
        <v>Asignada</v>
      </c>
      <c r="L970" s="20">
        <f>IFERROR(__xludf.DUMMYFUNCTION("""COMPUTED_VALUE"""),45128.0)</f>
        <v>45128</v>
      </c>
      <c r="M970" s="19" t="str">
        <f>IFERROR(__xludf.DUMMYFUNCTION("""COMPUTED_VALUE"""),"PCM_2")</f>
        <v>PCM_2</v>
      </c>
      <c r="N970" s="19" t="str">
        <f>IFERROR(__xludf.DUMMYFUNCTION("""COMPUTED_VALUE"""),"PRIORIDAD 3 Q1 2024 MARZO")</f>
        <v>PRIORIDAD 3 Q1 2024 MARZO</v>
      </c>
    </row>
    <row r="971" ht="15.75" customHeight="1">
      <c r="A971" s="19" t="str">
        <f>IFERROR(__xludf.DUMMYFUNCTION("""COMPUTED_VALUE"""),"AB_10442")</f>
        <v>AB_10442</v>
      </c>
      <c r="B971" s="19" t="str">
        <f>IFERROR(__xludf.DUMMYFUNCTION("""COMPUTED_VALUE"""),"AB_10442_A")</f>
        <v>AB_10442_A</v>
      </c>
      <c r="C971" s="19" t="str">
        <f>IFERROR(__xludf.DUMMYFUNCTION("""COMPUTED_VALUE"""),"RM10442")</f>
        <v>RM10442</v>
      </c>
      <c r="D971" s="19" t="str">
        <f>IFERROR(__xludf.DUMMYFUNCTION("""COMPUTED_VALUE"""),"LLOO Quilapilun Alto")</f>
        <v>LLOO Quilapilun Alto</v>
      </c>
      <c r="E971" s="19" t="str">
        <f>IFERROR(__xludf.DUMMYFUNCTION("""COMPUTED_VALUE"""),"SITIO CONSTRUIDO")</f>
        <v>SITIO CONSTRUIDO</v>
      </c>
      <c r="F971" s="19"/>
      <c r="G971" s="19" t="str">
        <f>IFERROR(__xludf.DUMMYFUNCTION("""COMPUTED_VALUE"""),"AS48")</f>
        <v>AS48</v>
      </c>
      <c r="H971" s="19" t="str">
        <f>IFERROR(__xludf.DUMMYFUNCTION("""COMPUTED_VALUE"""),"METALING")</f>
        <v>METALING</v>
      </c>
      <c r="I971" s="19" t="str">
        <f>IFERROR(__xludf.DUMMYFUNCTION("""COMPUTED_VALUE"""),"Terminada")</f>
        <v>Terminada</v>
      </c>
      <c r="J971" s="20">
        <f>IFERROR(__xludf.DUMMYFUNCTION("""COMPUTED_VALUE"""),44876.0)</f>
        <v>44876</v>
      </c>
      <c r="K971" s="19" t="str">
        <f>IFERROR(__xludf.DUMMYFUNCTION("""COMPUTED_VALUE"""),"Por pintar ")</f>
        <v>Por pintar </v>
      </c>
      <c r="L971" s="20">
        <f>IFERROR(__xludf.DUMMYFUNCTION("""COMPUTED_VALUE"""),44978.0)</f>
        <v>44978</v>
      </c>
      <c r="M971" s="19" t="str">
        <f>IFERROR(__xludf.DUMMYFUNCTION("""COMPUTED_VALUE"""),"LLOO")</f>
        <v>LLOO</v>
      </c>
      <c r="N971" s="19" t="str">
        <f>IFERROR(__xludf.DUMMYFUNCTION("""COMPUTED_VALUE"""),"PRIORIDAD 1 Q3 2023 OCTUBRE")</f>
        <v>PRIORIDAD 1 Q3 2023 OCTUBRE</v>
      </c>
    </row>
    <row r="972" ht="15.75" customHeight="1">
      <c r="A972" s="19" t="str">
        <f>IFERROR(__xludf.DUMMYFUNCTION("""COMPUTED_VALUE"""),"AB_0792")</f>
        <v>AB_0792</v>
      </c>
      <c r="B972" s="19" t="str">
        <f>IFERROR(__xludf.DUMMYFUNCTION("""COMPUTED_VALUE"""),"AB_0792_H")</f>
        <v>AB_0792_H</v>
      </c>
      <c r="C972" s="19" t="str">
        <f>IFERROR(__xludf.DUMMYFUNCTION("""COMPUTED_VALUE"""),"VA0792")</f>
        <v>VA0792</v>
      </c>
      <c r="D972" s="19" t="str">
        <f>IFERROR(__xludf.DUMMYFUNCTION("""COMPUTED_VALUE"""),"Tunel El Melon Outdoor")</f>
        <v>Tunel El Melon Outdoor</v>
      </c>
      <c r="E972" s="19" t="str">
        <f>IFERROR(__xludf.DUMMYFUNCTION("""COMPUTED_VALUE"""),"SITIO RFI")</f>
        <v>SITIO RFI</v>
      </c>
      <c r="F972" s="19" t="str">
        <f>IFERROR(__xludf.DUMMYFUNCTION("""COMPUTED_VALUE"""),"RFI")</f>
        <v>RFI</v>
      </c>
      <c r="G972" s="19" t="str">
        <f>IFERROR(__xludf.DUMMYFUNCTION("""COMPUTED_VALUE"""),"CV18")</f>
        <v>CV18</v>
      </c>
      <c r="H972" s="19" t="str">
        <f>IFERROR(__xludf.DUMMYFUNCTION("""COMPUTED_VALUE"""),"MT")</f>
        <v>MT</v>
      </c>
      <c r="I972" s="19" t="str">
        <f>IFERROR(__xludf.DUMMYFUNCTION("""COMPUTED_VALUE"""),"Entregada")</f>
        <v>Entregada</v>
      </c>
      <c r="J972" s="20">
        <f>IFERROR(__xludf.DUMMYFUNCTION("""COMPUTED_VALUE"""),44294.0)</f>
        <v>44294</v>
      </c>
      <c r="K972" s="19" t="str">
        <f>IFERROR(__xludf.DUMMYFUNCTION("""COMPUTED_VALUE"""),"Entregada")</f>
        <v>Entregada</v>
      </c>
      <c r="L972" s="20">
        <f>IFERROR(__xludf.DUMMYFUNCTION("""COMPUTED_VALUE"""),44294.0)</f>
        <v>44294</v>
      </c>
      <c r="M972" s="19" t="str">
        <f>IFERROR(__xludf.DUMMYFUNCTION("""COMPUTED_VALUE"""),"PCM")</f>
        <v>PCM</v>
      </c>
      <c r="N972" s="19" t="str">
        <f>IFERROR(__xludf.DUMMYFUNCTION("""COMPUTED_VALUE"""),"PRIORIDAD 1 Q3 2023 OCTUBRE")</f>
        <v>PRIORIDAD 1 Q3 2023 OCTUBRE</v>
      </c>
    </row>
    <row r="973" ht="15.75" customHeight="1">
      <c r="A973" s="19" t="str">
        <f>IFERROR(__xludf.DUMMYFUNCTION("""COMPUTED_VALUE"""),"AB_9382")</f>
        <v>AB_9382</v>
      </c>
      <c r="B973" s="19" t="str">
        <f>IFERROR(__xludf.DUMMYFUNCTION("""COMPUTED_VALUE"""),"AB_9382_B")</f>
        <v>AB_9382_B</v>
      </c>
      <c r="C973" s="19" t="str">
        <f>IFERROR(__xludf.DUMMYFUNCTION("""COMPUTED_VALUE"""),"RM9382")</f>
        <v>RM9382</v>
      </c>
      <c r="D973" s="19" t="str">
        <f>IFERROR(__xludf.DUMMYFUNCTION("""COMPUTED_VALUE"""),"Punta Mocha La Pincoya")</f>
        <v>Punta Mocha La Pincoya</v>
      </c>
      <c r="E973" s="19" t="str">
        <f>IFERROR(__xludf.DUMMYFUNCTION("""COMPUTED_VALUE"""),"SITIO CONSTRUIDO")</f>
        <v>SITIO CONSTRUIDO</v>
      </c>
      <c r="F973" s="19" t="str">
        <f>IFERROR(__xludf.DUMMYFUNCTION("""COMPUTED_VALUE"""),"VISITA")</f>
        <v>VISITA</v>
      </c>
      <c r="G973" s="19" t="str">
        <f>IFERROR(__xludf.DUMMYFUNCTION("""COMPUTED_VALUE"""),"CV36")</f>
        <v>CV36</v>
      </c>
      <c r="H973" s="19" t="str">
        <f>IFERROR(__xludf.DUMMYFUNCTION("""COMPUTED_VALUE"""),"AJ")</f>
        <v>AJ</v>
      </c>
      <c r="I973" s="19" t="str">
        <f>IFERROR(__xludf.DUMMYFUNCTION("""COMPUTED_VALUE"""),"Terminada")</f>
        <v>Terminada</v>
      </c>
      <c r="J973" s="20">
        <f>IFERROR(__xludf.DUMMYFUNCTION("""COMPUTED_VALUE"""),44697.0)</f>
        <v>44697</v>
      </c>
      <c r="K973" s="19" t="str">
        <f>IFERROR(__xludf.DUMMYFUNCTION("""COMPUTED_VALUE"""),"Por pintar ")</f>
        <v>Por pintar </v>
      </c>
      <c r="L973" s="20">
        <f>IFERROR(__xludf.DUMMYFUNCTION("""COMPUTED_VALUE"""),44854.0)</f>
        <v>44854</v>
      </c>
      <c r="M973" s="19" t="str">
        <f>IFERROR(__xludf.DUMMYFUNCTION("""COMPUTED_VALUE"""),"PCM")</f>
        <v>PCM</v>
      </c>
      <c r="N973" s="19" t="str">
        <f>IFERROR(__xludf.DUMMYFUNCTION("""COMPUTED_VALUE"""),"PRIORIDAD 1 Q3 2023 OCTUBRE")</f>
        <v>PRIORIDAD 1 Q3 2023 OCTUBRE</v>
      </c>
    </row>
    <row r="974" ht="15.75" customHeight="1">
      <c r="A974" s="19" t="str">
        <f>IFERROR(__xludf.DUMMYFUNCTION("""COMPUTED_VALUE"""),"AB_10075")</f>
        <v>AB_10075</v>
      </c>
      <c r="B974" s="19" t="str">
        <f>IFERROR(__xludf.DUMMYFUNCTION("""COMPUTED_VALUE"""),"AB_10075_A")</f>
        <v>AB_10075_A</v>
      </c>
      <c r="C974" s="19" t="str">
        <f>IFERROR(__xludf.DUMMYFUNCTION("""COMPUTED_VALUE"""),"VA10075")</f>
        <v>VA10075</v>
      </c>
      <c r="D974" s="19" t="str">
        <f>IFERROR(__xludf.DUMMYFUNCTION("""COMPUTED_VALUE"""),"Autopista los Andes R60")</f>
        <v>Autopista los Andes R60</v>
      </c>
      <c r="E974" s="19" t="str">
        <f>IFERROR(__xludf.DUMMYFUNCTION("""COMPUTED_VALUE"""),"SITIO RFI")</f>
        <v>SITIO RFI</v>
      </c>
      <c r="F974" s="19" t="str">
        <f>IFERROR(__xludf.DUMMYFUNCTION("""COMPUTED_VALUE"""),"RFI")</f>
        <v>RFI</v>
      </c>
      <c r="G974" s="19" t="str">
        <f>IFERROR(__xludf.DUMMYFUNCTION("""COMPUTED_VALUE"""),"MP36")</f>
        <v>MP36</v>
      </c>
      <c r="H974" s="19" t="str">
        <f>IFERROR(__xludf.DUMMYFUNCTION("""COMPUTED_VALUE"""),"MER")</f>
        <v>MER</v>
      </c>
      <c r="I974" s="19" t="str">
        <f>IFERROR(__xludf.DUMMYFUNCTION("""COMPUTED_VALUE"""),"Entregada")</f>
        <v>Entregada</v>
      </c>
      <c r="J974" s="20">
        <f>IFERROR(__xludf.DUMMYFUNCTION("""COMPUTED_VALUE"""),44729.0)</f>
        <v>44729</v>
      </c>
      <c r="K974" s="19" t="str">
        <f>IFERROR(__xludf.DUMMYFUNCTION("""COMPUTED_VALUE"""),"Entregada")</f>
        <v>Entregada</v>
      </c>
      <c r="L974" s="20">
        <f>IFERROR(__xludf.DUMMYFUNCTION("""COMPUTED_VALUE"""),44743.0)</f>
        <v>44743</v>
      </c>
      <c r="M974" s="19" t="str">
        <f>IFERROR(__xludf.DUMMYFUNCTION("""COMPUTED_VALUE"""),"PP")</f>
        <v>PP</v>
      </c>
      <c r="N974" s="19" t="str">
        <f>IFERROR(__xludf.DUMMYFUNCTION("""COMPUTED_VALUE"""),"PRIORIDAD 1 Q3 2023 OCTUBRE")</f>
        <v>PRIORIDAD 1 Q3 2023 OCTUBRE</v>
      </c>
    </row>
    <row r="975" ht="15.75" customHeight="1">
      <c r="A975" s="19" t="str">
        <f>IFERROR(__xludf.DUMMYFUNCTION("""COMPUTED_VALUE"""),"AB_10076")</f>
        <v>AB_10076</v>
      </c>
      <c r="B975" s="19" t="str">
        <f>IFERROR(__xludf.DUMMYFUNCTION("""COMPUTED_VALUE"""),"AB_10076_A")</f>
        <v>AB_10076_A</v>
      </c>
      <c r="C975" s="19" t="str">
        <f>IFERROR(__xludf.DUMMYFUNCTION("""COMPUTED_VALUE"""),"VA10076")</f>
        <v>VA10076</v>
      </c>
      <c r="D975" s="19" t="str">
        <f>IFERROR(__xludf.DUMMYFUNCTION("""COMPUTED_VALUE"""),"Puente la Guaitatas")</f>
        <v>Puente la Guaitatas</v>
      </c>
      <c r="E975" s="19" t="str">
        <f>IFERROR(__xludf.DUMMYFUNCTION("""COMPUTED_VALUE"""),"SITIO RFI")</f>
        <v>SITIO RFI</v>
      </c>
      <c r="F975" s="19" t="str">
        <f>IFERROR(__xludf.DUMMYFUNCTION("""COMPUTED_VALUE"""),"RFI")</f>
        <v>RFI</v>
      </c>
      <c r="G975" s="19" t="str">
        <f>IFERROR(__xludf.DUMMYFUNCTION("""COMPUTED_VALUE"""),"CV30")</f>
        <v>CV30</v>
      </c>
      <c r="H975" s="19" t="str">
        <f>IFERROR(__xludf.DUMMYFUNCTION("""COMPUTED_VALUE"""),"SyC")</f>
        <v>SyC</v>
      </c>
      <c r="I975" s="19" t="str">
        <f>IFERROR(__xludf.DUMMYFUNCTION("""COMPUTED_VALUE"""),"Entregada")</f>
        <v>Entregada</v>
      </c>
      <c r="J975" s="20">
        <f>IFERROR(__xludf.DUMMYFUNCTION("""COMPUTED_VALUE"""),44687.0)</f>
        <v>44687</v>
      </c>
      <c r="K975" s="19" t="str">
        <f>IFERROR(__xludf.DUMMYFUNCTION("""COMPUTED_VALUE"""),"Entregada")</f>
        <v>Entregada</v>
      </c>
      <c r="L975" s="20">
        <f>IFERROR(__xludf.DUMMYFUNCTION("""COMPUTED_VALUE"""),44755.0)</f>
        <v>44755</v>
      </c>
      <c r="M975" s="19" t="str">
        <f>IFERROR(__xludf.DUMMYFUNCTION("""COMPUTED_VALUE"""),"PP")</f>
        <v>PP</v>
      </c>
      <c r="N975" s="19" t="str">
        <f>IFERROR(__xludf.DUMMYFUNCTION("""COMPUTED_VALUE"""),"PRIORIDAD 1 Q3 2023 OCTUBRE")</f>
        <v>PRIORIDAD 1 Q3 2023 OCTUBRE</v>
      </c>
    </row>
    <row r="976" ht="15.75" customHeight="1">
      <c r="A976" s="19" t="str">
        <f>IFERROR(__xludf.DUMMYFUNCTION("""COMPUTED_VALUE"""),"AB_10110")</f>
        <v>AB_10110</v>
      </c>
      <c r="B976" s="19" t="str">
        <f>IFERROR(__xludf.DUMMYFUNCTION("""COMPUTED_VALUE"""),"AB_10110_A")</f>
        <v>AB_10110_A</v>
      </c>
      <c r="C976" s="19" t="str">
        <f>IFERROR(__xludf.DUMMYFUNCTION("""COMPUTED_VALUE"""),"VA10110")</f>
        <v>VA10110</v>
      </c>
      <c r="D976" s="19" t="str">
        <f>IFERROR(__xludf.DUMMYFUNCTION("""COMPUTED_VALUE"""),"UCV IES 15")</f>
        <v>UCV IES 15</v>
      </c>
      <c r="E976" s="19" t="str">
        <f>IFERROR(__xludf.DUMMYFUNCTION("""COMPUTED_VALUE"""),"SITIO RFI")</f>
        <v>SITIO RFI</v>
      </c>
      <c r="F976" s="19" t="str">
        <f>IFERROR(__xludf.DUMMYFUNCTION("""COMPUTED_VALUE"""),"RFI")</f>
        <v>RFI</v>
      </c>
      <c r="G976" s="19" t="str">
        <f>IFERROR(__xludf.DUMMYFUNCTION("""COMPUTED_VALUE"""),"AS30")</f>
        <v>AS30</v>
      </c>
      <c r="H976" s="19" t="str">
        <f>IFERROR(__xludf.DUMMYFUNCTION("""COMPUTED_VALUE"""),"MT")</f>
        <v>MT</v>
      </c>
      <c r="I976" s="19" t="str">
        <f>IFERROR(__xludf.DUMMYFUNCTION("""COMPUTED_VALUE"""),"Entregada")</f>
        <v>Entregada</v>
      </c>
      <c r="J976" s="20">
        <f>IFERROR(__xludf.DUMMYFUNCTION("""COMPUTED_VALUE"""),44666.0)</f>
        <v>44666</v>
      </c>
      <c r="K976" s="19" t="str">
        <f>IFERROR(__xludf.DUMMYFUNCTION("""COMPUTED_VALUE"""),"Entregada")</f>
        <v>Entregada</v>
      </c>
      <c r="L976" s="20">
        <f>IFERROR(__xludf.DUMMYFUNCTION("""COMPUTED_VALUE"""),44684.0)</f>
        <v>44684</v>
      </c>
      <c r="M976" s="19" t="str">
        <f>IFERROR(__xludf.DUMMYFUNCTION("""COMPUTED_VALUE"""),"PCM")</f>
        <v>PCM</v>
      </c>
      <c r="N976" s="19" t="str">
        <f>IFERROR(__xludf.DUMMYFUNCTION("""COMPUTED_VALUE"""),"PRIORIDAD 1 Q3 2023 OCTUBRE")</f>
        <v>PRIORIDAD 1 Q3 2023 OCTUBRE</v>
      </c>
    </row>
    <row r="977" ht="15.75" customHeight="1">
      <c r="A977" s="19" t="str">
        <f>IFERROR(__xludf.DUMMYFUNCTION("""COMPUTED_VALUE"""),"AB_10118")</f>
        <v>AB_10118</v>
      </c>
      <c r="B977" s="19" t="str">
        <f>IFERROR(__xludf.DUMMYFUNCTION("""COMPUTED_VALUE"""),"AB_10118_A")</f>
        <v>AB_10118_A</v>
      </c>
      <c r="C977" s="19" t="str">
        <f>IFERROR(__xludf.DUMMYFUNCTION("""COMPUTED_VALUE"""),"VA10118")</f>
        <v>VA10118</v>
      </c>
      <c r="D977" s="19" t="str">
        <f>IFERROR(__xludf.DUMMYFUNCTION("""COMPUTED_VALUE"""),"Isla Juan Fernandez")</f>
        <v>Isla Juan Fernandez</v>
      </c>
      <c r="E977" s="19" t="str">
        <f>IFERROR(__xludf.DUMMYFUNCTION("""COMPUTED_VALUE"""),"SITIO PENDIENTE")</f>
        <v>SITIO PENDIENTE</v>
      </c>
      <c r="F977" s="19"/>
      <c r="G977" s="19" t="str">
        <f>IFERROR(__xludf.DUMMYFUNCTION("""COMPUTED_VALUE"""),"x")</f>
        <v>x</v>
      </c>
      <c r="H977" s="19" t="str">
        <f>IFERROR(__xludf.DUMMYFUNCTION("""COMPUTED_VALUE"""),"x")</f>
        <v>x</v>
      </c>
      <c r="I977" s="19" t="str">
        <f>IFERROR(__xludf.DUMMYFUNCTION("""COMPUTED_VALUE"""),"x")</f>
        <v>x</v>
      </c>
      <c r="J977" s="20" t="str">
        <f>IFERROR(__xludf.DUMMYFUNCTION("""COMPUTED_VALUE"""),"x")</f>
        <v>x</v>
      </c>
      <c r="K977" s="19" t="str">
        <f>IFERROR(__xludf.DUMMYFUNCTION("""COMPUTED_VALUE"""),"x")</f>
        <v>x</v>
      </c>
      <c r="L977" s="20" t="str">
        <f>IFERROR(__xludf.DUMMYFUNCTION("""COMPUTED_VALUE"""),"x")</f>
        <v>x</v>
      </c>
      <c r="M977" s="19" t="str">
        <f>IFERROR(__xludf.DUMMYFUNCTION("""COMPUTED_VALUE"""),"PCM")</f>
        <v>PCM</v>
      </c>
      <c r="N977" s="19" t="str">
        <f>IFERROR(__xludf.DUMMYFUNCTION("""COMPUTED_VALUE"""),"PRIORIDAD 3 Q1 2024 MARZO")</f>
        <v>PRIORIDAD 3 Q1 2024 MARZO</v>
      </c>
    </row>
    <row r="978" ht="15.75" customHeight="1">
      <c r="A978" s="19" t="str">
        <f>IFERROR(__xludf.DUMMYFUNCTION("""COMPUTED_VALUE"""),"AB_10123")</f>
        <v>AB_10123</v>
      </c>
      <c r="B978" s="19" t="str">
        <f>IFERROR(__xludf.DUMMYFUNCTION("""COMPUTED_VALUE"""),"AB_10123_D")</f>
        <v>AB_10123_D</v>
      </c>
      <c r="C978" s="19" t="str">
        <f>IFERROR(__xludf.DUMMYFUNCTION("""COMPUTED_VALUE"""),"VA10123")</f>
        <v>VA10123</v>
      </c>
      <c r="D978" s="19" t="str">
        <f>IFERROR(__xludf.DUMMYFUNCTION("""COMPUTED_VALUE"""),"Base Aerea Torquemada")</f>
        <v>Base Aerea Torquemada</v>
      </c>
      <c r="E978" s="19" t="str">
        <f>IFERROR(__xludf.DUMMYFUNCTION("""COMPUTED_VALUE"""),"DETENIDO SAC")</f>
        <v>DETENIDO SAC</v>
      </c>
      <c r="F978" s="19"/>
      <c r="G978" s="19" t="str">
        <f>IFERROR(__xludf.DUMMYFUNCTION("""COMPUTED_VALUE"""),"AS42")</f>
        <v>AS42</v>
      </c>
      <c r="H978" s="19" t="str">
        <f>IFERROR(__xludf.DUMMYFUNCTION("""COMPUTED_VALUE"""),"DEITEL")</f>
        <v>DEITEL</v>
      </c>
      <c r="I978" s="19" t="str">
        <f>IFERROR(__xludf.DUMMYFUNCTION("""COMPUTED_VALUE"""),"Entregada")</f>
        <v>Entregada</v>
      </c>
      <c r="J978" s="20">
        <f>IFERROR(__xludf.DUMMYFUNCTION("""COMPUTED_VALUE"""),44854.0)</f>
        <v>44854</v>
      </c>
      <c r="K978" s="19" t="str">
        <f>IFERROR(__xludf.DUMMYFUNCTION("""COMPUTED_VALUE"""),"Terminada")</f>
        <v>Terminada</v>
      </c>
      <c r="L978" s="20">
        <f>IFERROR(__xludf.DUMMYFUNCTION("""COMPUTED_VALUE"""),44854.0)</f>
        <v>44854</v>
      </c>
      <c r="M978" s="19" t="str">
        <f>IFERROR(__xludf.DUMMYFUNCTION("""COMPUTED_VALUE"""),"PCM")</f>
        <v>PCM</v>
      </c>
      <c r="N978" s="19" t="str">
        <f>IFERROR(__xludf.DUMMYFUNCTION("""COMPUTED_VALUE"""),"PRIORIDAD 1 Q3 2023 OCTUBRE")</f>
        <v>PRIORIDAD 1 Q3 2023 OCTUBRE</v>
      </c>
    </row>
    <row r="979" ht="15.75" customHeight="1">
      <c r="A979" s="19" t="str">
        <f>IFERROR(__xludf.DUMMYFUNCTION("""COMPUTED_VALUE"""),"AB_10125")</f>
        <v>AB_10125</v>
      </c>
      <c r="B979" s="19" t="str">
        <f>IFERROR(__xludf.DUMMYFUNCTION("""COMPUTED_VALUE"""),"AB_10125_A")</f>
        <v>AB_10125_A</v>
      </c>
      <c r="C979" s="19" t="str">
        <f>IFERROR(__xludf.DUMMYFUNCTION("""COMPUTED_VALUE"""),"VA10125")</f>
        <v>VA10125</v>
      </c>
      <c r="D979" s="19" t="str">
        <f>IFERROR(__xludf.DUMMYFUNCTION("""COMPUTED_VALUE"""),"Cerro La Calera 2")</f>
        <v>Cerro La Calera 2</v>
      </c>
      <c r="E979" s="19" t="str">
        <f>IFERROR(__xludf.DUMMYFUNCTION("""COMPUTED_VALUE"""),"SITIO RFI")</f>
        <v>SITIO RFI</v>
      </c>
      <c r="F979" s="19" t="str">
        <f>IFERROR(__xludf.DUMMYFUNCTION("""COMPUTED_VALUE"""),"RFI")</f>
        <v>RFI</v>
      </c>
      <c r="G979" s="19" t="str">
        <f>IFERROR(__xludf.DUMMYFUNCTION("""COMPUTED_VALUE"""),"AS30")</f>
        <v>AS30</v>
      </c>
      <c r="H979" s="19" t="str">
        <f>IFERROR(__xludf.DUMMYFUNCTION("""COMPUTED_VALUE"""),"METALING")</f>
        <v>METALING</v>
      </c>
      <c r="I979" s="19" t="str">
        <f>IFERROR(__xludf.DUMMYFUNCTION("""COMPUTED_VALUE"""),"Entregada")</f>
        <v>Entregada</v>
      </c>
      <c r="J979" s="20">
        <f>IFERROR(__xludf.DUMMYFUNCTION("""COMPUTED_VALUE"""),44736.0)</f>
        <v>44736</v>
      </c>
      <c r="K979" s="19" t="str">
        <f>IFERROR(__xludf.DUMMYFUNCTION("""COMPUTED_VALUE"""),"Entregada")</f>
        <v>Entregada</v>
      </c>
      <c r="L979" s="20">
        <f>IFERROR(__xludf.DUMMYFUNCTION("""COMPUTED_VALUE"""),44743.0)</f>
        <v>44743</v>
      </c>
      <c r="M979" s="19" t="str">
        <f>IFERROR(__xludf.DUMMYFUNCTION("""COMPUTED_VALUE"""),"PCM")</f>
        <v>PCM</v>
      </c>
      <c r="N979" s="19" t="str">
        <f>IFERROR(__xludf.DUMMYFUNCTION("""COMPUTED_VALUE"""),"PRIORIDAD 1 Q3 2023 OCTUBRE")</f>
        <v>PRIORIDAD 1 Q3 2023 OCTUBRE</v>
      </c>
    </row>
    <row r="980" ht="15.75" customHeight="1">
      <c r="A980" s="19" t="str">
        <f>IFERROR(__xludf.DUMMYFUNCTION("""COMPUTED_VALUE"""),"AB_10133")</f>
        <v>AB_10133</v>
      </c>
      <c r="B980" s="19" t="str">
        <f>IFERROR(__xludf.DUMMYFUNCTION("""COMPUTED_VALUE"""),"AB_10133_A")</f>
        <v>AB_10133_A</v>
      </c>
      <c r="C980" s="19" t="str">
        <f>IFERROR(__xludf.DUMMYFUNCTION("""COMPUTED_VALUE"""),"VA10133")</f>
        <v>VA10133</v>
      </c>
      <c r="D980" s="19" t="str">
        <f>IFERROR(__xludf.DUMMYFUNCTION("""COMPUTED_VALUE"""),"Centenario La Calera")</f>
        <v>Centenario La Calera</v>
      </c>
      <c r="E980" s="19" t="str">
        <f>IFERROR(__xludf.DUMMYFUNCTION("""COMPUTED_VALUE"""),"SITIO RFI")</f>
        <v>SITIO RFI</v>
      </c>
      <c r="F980" s="19" t="str">
        <f>IFERROR(__xludf.DUMMYFUNCTION("""COMPUTED_VALUE"""),"RFI")</f>
        <v>RFI</v>
      </c>
      <c r="G980" s="19" t="str">
        <f>IFERROR(__xludf.DUMMYFUNCTION("""COMPUTED_VALUE"""),"CV18")</f>
        <v>CV18</v>
      </c>
      <c r="H980" s="19" t="str">
        <f>IFERROR(__xludf.DUMMYFUNCTION("""COMPUTED_VALUE"""),"ADM")</f>
        <v>ADM</v>
      </c>
      <c r="I980" s="19" t="str">
        <f>IFERROR(__xludf.DUMMYFUNCTION("""COMPUTED_VALUE"""),"Entregada")</f>
        <v>Entregada</v>
      </c>
      <c r="J980" s="20">
        <f>IFERROR(__xludf.DUMMYFUNCTION("""COMPUTED_VALUE"""),44774.0)</f>
        <v>44774</v>
      </c>
      <c r="K980" s="19" t="str">
        <f>IFERROR(__xludf.DUMMYFUNCTION("""COMPUTED_VALUE"""),"Entregada")</f>
        <v>Entregada</v>
      </c>
      <c r="L980" s="20">
        <f>IFERROR(__xludf.DUMMYFUNCTION("""COMPUTED_VALUE"""),44774.0)</f>
        <v>44774</v>
      </c>
      <c r="M980" s="19" t="str">
        <f>IFERROR(__xludf.DUMMYFUNCTION("""COMPUTED_VALUE"""),"PCM")</f>
        <v>PCM</v>
      </c>
      <c r="N980" s="19" t="str">
        <f>IFERROR(__xludf.DUMMYFUNCTION("""COMPUTED_VALUE"""),"PRIORIDAD 1 Q3 2023 OCTUBRE")</f>
        <v>PRIORIDAD 1 Q3 2023 OCTUBRE</v>
      </c>
    </row>
    <row r="981" ht="15.75" customHeight="1">
      <c r="A981" s="19" t="str">
        <f>IFERROR(__xludf.DUMMYFUNCTION("""COMPUTED_VALUE"""),"AB_10134")</f>
        <v>AB_10134</v>
      </c>
      <c r="B981" s="19" t="str">
        <f>IFERROR(__xludf.DUMMYFUNCTION("""COMPUTED_VALUE"""),"AB_10134_A")</f>
        <v>AB_10134_A</v>
      </c>
      <c r="C981" s="19" t="str">
        <f>IFERROR(__xludf.DUMMYFUNCTION("""COMPUTED_VALUE"""),"VA10134")</f>
        <v>VA10134</v>
      </c>
      <c r="D981" s="19" t="str">
        <f>IFERROR(__xludf.DUMMYFUNCTION("""COMPUTED_VALUE"""),"Quebrada del Cura")</f>
        <v>Quebrada del Cura</v>
      </c>
      <c r="E981" s="19" t="str">
        <f>IFERROR(__xludf.DUMMYFUNCTION("""COMPUTED_VALUE"""),"DETENIDO SAC")</f>
        <v>DETENIDO SAC</v>
      </c>
      <c r="F981" s="19"/>
      <c r="G981" s="19" t="str">
        <f>IFERROR(__xludf.DUMMYFUNCTION("""COMPUTED_VALUE"""),"CV42")</f>
        <v>CV42</v>
      </c>
      <c r="H981" s="19" t="str">
        <f>IFERROR(__xludf.DUMMYFUNCTION("""COMPUTED_VALUE"""),"")</f>
        <v/>
      </c>
      <c r="I981" s="19" t="str">
        <f>IFERROR(__xludf.DUMMYFUNCTION("""COMPUTED_VALUE"""),"")</f>
        <v/>
      </c>
      <c r="J981" s="20" t="str">
        <f>IFERROR(__xludf.DUMMYFUNCTION("""COMPUTED_VALUE"""),"")</f>
        <v/>
      </c>
      <c r="K981" s="19" t="str">
        <f>IFERROR(__xludf.DUMMYFUNCTION("""COMPUTED_VALUE"""),"")</f>
        <v/>
      </c>
      <c r="L981" s="20" t="str">
        <f>IFERROR(__xludf.DUMMYFUNCTION("""COMPUTED_VALUE"""),"")</f>
        <v/>
      </c>
      <c r="M981" s="19" t="str">
        <f>IFERROR(__xludf.DUMMYFUNCTION("""COMPUTED_VALUE"""),"PCM")</f>
        <v>PCM</v>
      </c>
      <c r="N981" s="19" t="str">
        <f>IFERROR(__xludf.DUMMYFUNCTION("""COMPUTED_VALUE"""),"PRIORIDAD 3 Q1 2024 MARZO")</f>
        <v>PRIORIDAD 3 Q1 2024 MARZO</v>
      </c>
    </row>
    <row r="982" ht="15.75" customHeight="1">
      <c r="A982" s="19" t="str">
        <f>IFERROR(__xludf.DUMMYFUNCTION("""COMPUTED_VALUE"""),"AB_1024")</f>
        <v>AB_1024</v>
      </c>
      <c r="B982" s="19" t="str">
        <f>IFERROR(__xludf.DUMMYFUNCTION("""COMPUTED_VALUE"""),"AB_1024_C")</f>
        <v>AB_1024_C</v>
      </c>
      <c r="C982" s="19" t="str">
        <f>IFERROR(__xludf.DUMMYFUNCTION("""COMPUTED_VALUE"""),"VA1024")</f>
        <v>VA1024</v>
      </c>
      <c r="D982" s="19" t="str">
        <f>IFERROR(__xludf.DUMMYFUNCTION("""COMPUTED_VALUE"""),"Rinconada de Silva")</f>
        <v>Rinconada de Silva</v>
      </c>
      <c r="E982" s="19" t="str">
        <f>IFERROR(__xludf.DUMMYFUNCTION("""COMPUTED_VALUE"""),"SITIO RFI")</f>
        <v>SITIO RFI</v>
      </c>
      <c r="F982" s="19" t="str">
        <f>IFERROR(__xludf.DUMMYFUNCTION("""COMPUTED_VALUE"""),"RFI")</f>
        <v>RFI</v>
      </c>
      <c r="G982" s="19" t="str">
        <f>IFERROR(__xludf.DUMMYFUNCTION("""COMPUTED_VALUE"""),"CV72")</f>
        <v>CV72</v>
      </c>
      <c r="H982" s="19" t="str">
        <f>IFERROR(__xludf.DUMMYFUNCTION("""COMPUTED_VALUE"""),"DEITEL")</f>
        <v>DEITEL</v>
      </c>
      <c r="I982" s="19" t="str">
        <f>IFERROR(__xludf.DUMMYFUNCTION("""COMPUTED_VALUE"""),"Entregada")</f>
        <v>Entregada</v>
      </c>
      <c r="J982" s="20">
        <f>IFERROR(__xludf.DUMMYFUNCTION("""COMPUTED_VALUE"""),44897.0)</f>
        <v>44897</v>
      </c>
      <c r="K982" s="19" t="str">
        <f>IFERROR(__xludf.DUMMYFUNCTION("""COMPUTED_VALUE"""),"Entregada")</f>
        <v>Entregada</v>
      </c>
      <c r="L982" s="20">
        <f>IFERROR(__xludf.DUMMYFUNCTION("""COMPUTED_VALUE"""),44969.0)</f>
        <v>44969</v>
      </c>
      <c r="M982" s="19" t="str">
        <f>IFERROR(__xludf.DUMMYFUNCTION("""COMPUTED_VALUE"""),"PCM")</f>
        <v>PCM</v>
      </c>
      <c r="N982" s="19" t="str">
        <f>IFERROR(__xludf.DUMMYFUNCTION("""COMPUTED_VALUE"""),"PRIORIDAD 1 Q3 2023 OCTUBRE")</f>
        <v>PRIORIDAD 1 Q3 2023 OCTUBRE</v>
      </c>
    </row>
    <row r="983" ht="15.75" customHeight="1">
      <c r="A983" s="19" t="str">
        <f>IFERROR(__xludf.DUMMYFUNCTION("""COMPUTED_VALUE"""),"AB_1028")</f>
        <v>AB_1028</v>
      </c>
      <c r="B983" s="19" t="str">
        <f>IFERROR(__xludf.DUMMYFUNCTION("""COMPUTED_VALUE"""),"AB_1028_C")</f>
        <v>AB_1028_C</v>
      </c>
      <c r="C983" s="19" t="str">
        <f>IFERROR(__xludf.DUMMYFUNCTION("""COMPUTED_VALUE"""),"VA1028")</f>
        <v>VA1028</v>
      </c>
      <c r="D983" s="19" t="str">
        <f>IFERROR(__xludf.DUMMYFUNCTION("""COMPUTED_VALUE"""),"Potrero Alto")</f>
        <v>Potrero Alto</v>
      </c>
      <c r="E983" s="19" t="str">
        <f>IFERROR(__xludf.DUMMYFUNCTION("""COMPUTED_VALUE"""),"SITIO EN CONSTRUCCION")</f>
        <v>SITIO EN CONSTRUCCION</v>
      </c>
      <c r="F983" s="19" t="str">
        <f>IFERROR(__xludf.DUMMYFUNCTION("""COMPUTED_VALUE"""),"VISITA")</f>
        <v>VISITA</v>
      </c>
      <c r="G983" s="19" t="str">
        <f>IFERROR(__xludf.DUMMYFUNCTION("""COMPUTED_VALUE"""),"CV48")</f>
        <v>CV48</v>
      </c>
      <c r="H983" s="19" t="str">
        <f>IFERROR(__xludf.DUMMYFUNCTION("""COMPUTED_VALUE"""),"JTI")</f>
        <v>JTI</v>
      </c>
      <c r="I983" s="19" t="str">
        <f>IFERROR(__xludf.DUMMYFUNCTION("""COMPUTED_VALUE"""),"Entregada")</f>
        <v>Entregada</v>
      </c>
      <c r="J983" s="20">
        <f>IFERROR(__xludf.DUMMYFUNCTION("""COMPUTED_VALUE"""),44736.0)</f>
        <v>44736</v>
      </c>
      <c r="K983" s="19" t="str">
        <f>IFERROR(__xludf.DUMMYFUNCTION("""COMPUTED_VALUE"""),"Entregada")</f>
        <v>Entregada</v>
      </c>
      <c r="L983" s="20">
        <f>IFERROR(__xludf.DUMMYFUNCTION("""COMPUTED_VALUE"""),44894.0)</f>
        <v>44894</v>
      </c>
      <c r="M983" s="19" t="str">
        <f>IFERROR(__xludf.DUMMYFUNCTION("""COMPUTED_VALUE"""),"PCM")</f>
        <v>PCM</v>
      </c>
      <c r="N983" s="19" t="str">
        <f>IFERROR(__xludf.DUMMYFUNCTION("""COMPUTED_VALUE"""),"PRIORIDAD 1 Q3 2023 OCTUBRE")</f>
        <v>PRIORIDAD 1 Q3 2023 OCTUBRE</v>
      </c>
    </row>
    <row r="984" ht="15.75" customHeight="1">
      <c r="A984" s="19" t="str">
        <f>IFERROR(__xludf.DUMMYFUNCTION("""COMPUTED_VALUE"""),"AB_10281")</f>
        <v>AB_10281</v>
      </c>
      <c r="B984" s="19" t="str">
        <f>IFERROR(__xludf.DUMMYFUNCTION("""COMPUTED_VALUE"""),"AB_10281_B")</f>
        <v>AB_10281_B</v>
      </c>
      <c r="C984" s="19" t="str">
        <f>IFERROR(__xludf.DUMMYFUNCTION("""COMPUTED_VALUE"""),"VA10281")</f>
        <v>VA10281</v>
      </c>
      <c r="D984" s="19" t="str">
        <f>IFERROR(__xludf.DUMMYFUNCTION("""COMPUTED_VALUE"""),"DUOC Quillota")</f>
        <v>DUOC Quillota</v>
      </c>
      <c r="E984" s="19" t="str">
        <f>IFERROR(__xludf.DUMMYFUNCTION("""COMPUTED_VALUE"""),"SITIO RFI")</f>
        <v>SITIO RFI</v>
      </c>
      <c r="F984" s="19" t="str">
        <f>IFERROR(__xludf.DUMMYFUNCTION("""COMPUTED_VALUE"""),"RFI")</f>
        <v>RFI</v>
      </c>
      <c r="G984" s="19" t="str">
        <f>IFERROR(__xludf.DUMMYFUNCTION("""COMPUTED_VALUE"""),"AS36")</f>
        <v>AS36</v>
      </c>
      <c r="H984" s="19" t="str">
        <f>IFERROR(__xludf.DUMMYFUNCTION("""COMPUTED_VALUE"""),"METALING")</f>
        <v>METALING</v>
      </c>
      <c r="I984" s="19" t="str">
        <f>IFERROR(__xludf.DUMMYFUNCTION("""COMPUTED_VALUE"""),"Entregada")</f>
        <v>Entregada</v>
      </c>
      <c r="J984" s="20">
        <f>IFERROR(__xludf.DUMMYFUNCTION("""COMPUTED_VALUE"""),44680.0)</f>
        <v>44680</v>
      </c>
      <c r="K984" s="19" t="str">
        <f>IFERROR(__xludf.DUMMYFUNCTION("""COMPUTED_VALUE"""),"Entregada")</f>
        <v>Entregada</v>
      </c>
      <c r="L984" s="20">
        <f>IFERROR(__xludf.DUMMYFUNCTION("""COMPUTED_VALUE"""),44722.0)</f>
        <v>44722</v>
      </c>
      <c r="M984" s="19" t="str">
        <f>IFERROR(__xludf.DUMMYFUNCTION("""COMPUTED_VALUE"""),"PCM")</f>
        <v>PCM</v>
      </c>
      <c r="N984" s="19" t="str">
        <f>IFERROR(__xludf.DUMMYFUNCTION("""COMPUTED_VALUE"""),"PRIORIDAD 1 Q3 2023 OCTUBRE")</f>
        <v>PRIORIDAD 1 Q3 2023 OCTUBRE</v>
      </c>
    </row>
    <row r="985" ht="15.75" customHeight="1">
      <c r="A985" s="19" t="str">
        <f>IFERROR(__xludf.DUMMYFUNCTION("""COMPUTED_VALUE"""),"AB_10287")</f>
        <v>AB_10287</v>
      </c>
      <c r="B985" s="19" t="str">
        <f>IFERROR(__xludf.DUMMYFUNCTION("""COMPUTED_VALUE"""),"AB_10287_I")</f>
        <v>AB_10287_I</v>
      </c>
      <c r="C985" s="19" t="str">
        <f>IFERROR(__xludf.DUMMYFUNCTION("""COMPUTED_VALUE"""),"VA10287")</f>
        <v>VA10287</v>
      </c>
      <c r="D985" s="19" t="str">
        <f>IFERROR(__xludf.DUMMYFUNCTION("""COMPUTED_VALUE"""),"Pinares de Montemar")</f>
        <v>Pinares de Montemar</v>
      </c>
      <c r="E985" s="19" t="str">
        <f>IFERROR(__xludf.DUMMYFUNCTION("""COMPUTED_VALUE"""),"DETENIDO SAC")</f>
        <v>DETENIDO SAC</v>
      </c>
      <c r="F985" s="19"/>
      <c r="G985" s="19" t="str">
        <f>IFERROR(__xludf.DUMMYFUNCTION("""COMPUTED_VALUE"""),"AZOTEA")</f>
        <v>AZOTEA</v>
      </c>
      <c r="H985" s="19" t="str">
        <f>IFERROR(__xludf.DUMMYFUNCTION("""COMPUTED_VALUE"""),"x")</f>
        <v>x</v>
      </c>
      <c r="I985" s="19" t="str">
        <f>IFERROR(__xludf.DUMMYFUNCTION("""COMPUTED_VALUE"""),"x")</f>
        <v>x</v>
      </c>
      <c r="J985" s="20" t="str">
        <f>IFERROR(__xludf.DUMMYFUNCTION("""COMPUTED_VALUE"""),"x")</f>
        <v>x</v>
      </c>
      <c r="K985" s="19" t="str">
        <f>IFERROR(__xludf.DUMMYFUNCTION("""COMPUTED_VALUE"""),"x")</f>
        <v>x</v>
      </c>
      <c r="L985" s="20" t="str">
        <f>IFERROR(__xludf.DUMMYFUNCTION("""COMPUTED_VALUE"""),"x")</f>
        <v>x</v>
      </c>
      <c r="M985" s="19" t="str">
        <f>IFERROR(__xludf.DUMMYFUNCTION("""COMPUTED_VALUE"""),"PCM")</f>
        <v>PCM</v>
      </c>
      <c r="N985" s="19" t="str">
        <f>IFERROR(__xludf.DUMMYFUNCTION("""COMPUTED_VALUE"""),"PRIORIDAD 3 Q1 2024 MARZO")</f>
        <v>PRIORIDAD 3 Q1 2024 MARZO</v>
      </c>
    </row>
    <row r="986" ht="15.75" customHeight="1">
      <c r="A986" s="19" t="str">
        <f>IFERROR(__xludf.DUMMYFUNCTION("""COMPUTED_VALUE"""),"AB_10289")</f>
        <v>AB_10289</v>
      </c>
      <c r="B986" s="19" t="str">
        <f>IFERROR(__xludf.DUMMYFUNCTION("""COMPUTED_VALUE"""),"AB_10289_A")</f>
        <v>AB_10289_A</v>
      </c>
      <c r="C986" s="19" t="str">
        <f>IFERROR(__xludf.DUMMYFUNCTION("""COMPUTED_VALUE"""),"VA10289")</f>
        <v>VA10289</v>
      </c>
      <c r="D986" s="19" t="str">
        <f>IFERROR(__xludf.DUMMYFUNCTION("""COMPUTED_VALUE"""),"Nogales El Melon")</f>
        <v>Nogales El Melon</v>
      </c>
      <c r="E986" s="19" t="str">
        <f>IFERROR(__xludf.DUMMYFUNCTION("""COMPUTED_VALUE"""),"SITIO RFI")</f>
        <v>SITIO RFI</v>
      </c>
      <c r="F986" s="19" t="str">
        <f>IFERROR(__xludf.DUMMYFUNCTION("""COMPUTED_VALUE"""),"RFI")</f>
        <v>RFI</v>
      </c>
      <c r="G986" s="19" t="str">
        <f>IFERROR(__xludf.DUMMYFUNCTION("""COMPUTED_VALUE"""),"AS36")</f>
        <v>AS36</v>
      </c>
      <c r="H986" s="19" t="str">
        <f>IFERROR(__xludf.DUMMYFUNCTION("""COMPUTED_VALUE"""),"REDSITE")</f>
        <v>REDSITE</v>
      </c>
      <c r="I986" s="19" t="str">
        <f>IFERROR(__xludf.DUMMYFUNCTION("""COMPUTED_VALUE"""),"Entregada")</f>
        <v>Entregada</v>
      </c>
      <c r="J986" s="20">
        <f>IFERROR(__xludf.DUMMYFUNCTION("""COMPUTED_VALUE"""),44635.0)</f>
        <v>44635</v>
      </c>
      <c r="K986" s="19" t="str">
        <f>IFERROR(__xludf.DUMMYFUNCTION("""COMPUTED_VALUE"""),"Entregada")</f>
        <v>Entregada</v>
      </c>
      <c r="L986" s="20">
        <f>IFERROR(__xludf.DUMMYFUNCTION("""COMPUTED_VALUE"""),44643.0)</f>
        <v>44643</v>
      </c>
      <c r="M986" s="19" t="str">
        <f>IFERROR(__xludf.DUMMYFUNCTION("""COMPUTED_VALUE"""),"PCM")</f>
        <v>PCM</v>
      </c>
      <c r="N986" s="19" t="str">
        <f>IFERROR(__xludf.DUMMYFUNCTION("""COMPUTED_VALUE"""),"PRIORIDAD 1 Q3 2023 OCTUBRE")</f>
        <v>PRIORIDAD 1 Q3 2023 OCTUBRE</v>
      </c>
    </row>
    <row r="987" ht="15.75" customHeight="1">
      <c r="A987" s="19" t="str">
        <f>IFERROR(__xludf.DUMMYFUNCTION("""COMPUTED_VALUE"""),"AB_10291")</f>
        <v>AB_10291</v>
      </c>
      <c r="B987" s="19" t="str">
        <f>IFERROR(__xludf.DUMMYFUNCTION("""COMPUTED_VALUE"""),"AB_10291_C")</f>
        <v>AB_10291_C</v>
      </c>
      <c r="C987" s="19" t="str">
        <f>IFERROR(__xludf.DUMMYFUNCTION("""COMPUTED_VALUE"""),"VA10291")</f>
        <v>VA10291</v>
      </c>
      <c r="D987" s="19" t="str">
        <f>IFERROR(__xludf.DUMMYFUNCTION("""COMPUTED_VALUE"""),"Cerro San Miguel Cartagena")</f>
        <v>Cerro San Miguel Cartagena</v>
      </c>
      <c r="E987" s="19" t="str">
        <f>IFERROR(__xludf.DUMMYFUNCTION("""COMPUTED_VALUE"""),"SITIO RFI")</f>
        <v>SITIO RFI</v>
      </c>
      <c r="F987" s="19" t="str">
        <f>IFERROR(__xludf.DUMMYFUNCTION("""COMPUTED_VALUE"""),"RFI")</f>
        <v>RFI</v>
      </c>
      <c r="G987" s="19" t="str">
        <f>IFERROR(__xludf.DUMMYFUNCTION("""COMPUTED_VALUE"""),"CV60")</f>
        <v>CV60</v>
      </c>
      <c r="H987" s="19" t="str">
        <f>IFERROR(__xludf.DUMMYFUNCTION("""COMPUTED_VALUE"""),"DEPROMET")</f>
        <v>DEPROMET</v>
      </c>
      <c r="I987" s="19" t="str">
        <f>IFERROR(__xludf.DUMMYFUNCTION("""COMPUTED_VALUE"""),"Entregada")</f>
        <v>Entregada</v>
      </c>
      <c r="J987" s="20">
        <f>IFERROR(__xludf.DUMMYFUNCTION("""COMPUTED_VALUE"""),44708.0)</f>
        <v>44708</v>
      </c>
      <c r="K987" s="19" t="str">
        <f>IFERROR(__xludf.DUMMYFUNCTION("""COMPUTED_VALUE"""),"Entregada")</f>
        <v>Entregada</v>
      </c>
      <c r="L987" s="20">
        <f>IFERROR(__xludf.DUMMYFUNCTION("""COMPUTED_VALUE"""),44729.0)</f>
        <v>44729</v>
      </c>
      <c r="M987" s="19" t="str">
        <f>IFERROR(__xludf.DUMMYFUNCTION("""COMPUTED_VALUE"""),"PCM")</f>
        <v>PCM</v>
      </c>
      <c r="N987" s="19" t="str">
        <f>IFERROR(__xludf.DUMMYFUNCTION("""COMPUTED_VALUE"""),"PRIORIDAD 1 Q3 2023 OCTUBRE")</f>
        <v>PRIORIDAD 1 Q3 2023 OCTUBRE</v>
      </c>
    </row>
    <row r="988" ht="15.75" customHeight="1">
      <c r="A988" s="19" t="str">
        <f>IFERROR(__xludf.DUMMYFUNCTION("""COMPUTED_VALUE"""),"AB_10292")</f>
        <v>AB_10292</v>
      </c>
      <c r="B988" s="19" t="str">
        <f>IFERROR(__xludf.DUMMYFUNCTION("""COMPUTED_VALUE"""),"AB_10292_C")</f>
        <v>AB_10292_C</v>
      </c>
      <c r="C988" s="19" t="str">
        <f>IFERROR(__xludf.DUMMYFUNCTION("""COMPUTED_VALUE"""),"VA10292")</f>
        <v>VA10292</v>
      </c>
      <c r="D988" s="19" t="str">
        <f>IFERROR(__xludf.DUMMYFUNCTION("""COMPUTED_VALUE"""),"Llayllay - Catemu")</f>
        <v>Llayllay - Catemu</v>
      </c>
      <c r="E988" s="19" t="str">
        <f>IFERROR(__xludf.DUMMYFUNCTION("""COMPUTED_VALUE"""),"SITIO RFI")</f>
        <v>SITIO RFI</v>
      </c>
      <c r="F988" s="19" t="str">
        <f>IFERROR(__xludf.DUMMYFUNCTION("""COMPUTED_VALUE"""),"RFI")</f>
        <v>RFI</v>
      </c>
      <c r="G988" s="19" t="str">
        <f>IFERROR(__xludf.DUMMYFUNCTION("""COMPUTED_VALUE"""),"AS60")</f>
        <v>AS60</v>
      </c>
      <c r="H988" s="19" t="str">
        <f>IFERROR(__xludf.DUMMYFUNCTION("""COMPUTED_VALUE"""),"DEITEL")</f>
        <v>DEITEL</v>
      </c>
      <c r="I988" s="19" t="str">
        <f>IFERROR(__xludf.DUMMYFUNCTION("""COMPUTED_VALUE"""),"Entregada")</f>
        <v>Entregada</v>
      </c>
      <c r="J988" s="20">
        <f>IFERROR(__xludf.DUMMYFUNCTION("""COMPUTED_VALUE"""),44720.0)</f>
        <v>44720</v>
      </c>
      <c r="K988" s="19" t="str">
        <f>IFERROR(__xludf.DUMMYFUNCTION("""COMPUTED_VALUE"""),"Entregada")</f>
        <v>Entregada</v>
      </c>
      <c r="L988" s="20">
        <f>IFERROR(__xludf.DUMMYFUNCTION("""COMPUTED_VALUE"""),44771.0)</f>
        <v>44771</v>
      </c>
      <c r="M988" s="19" t="str">
        <f>IFERROR(__xludf.DUMMYFUNCTION("""COMPUTED_VALUE"""),"PCM")</f>
        <v>PCM</v>
      </c>
      <c r="N988" s="19" t="str">
        <f>IFERROR(__xludf.DUMMYFUNCTION("""COMPUTED_VALUE"""),"PRIORIDAD 1 Q3 2023 OCTUBRE")</f>
        <v>PRIORIDAD 1 Q3 2023 OCTUBRE</v>
      </c>
    </row>
    <row r="989" ht="15.75" customHeight="1">
      <c r="A989" s="19" t="str">
        <f>IFERROR(__xludf.DUMMYFUNCTION("""COMPUTED_VALUE"""),"AB_10297")</f>
        <v>AB_10297</v>
      </c>
      <c r="B989" s="19" t="str">
        <f>IFERROR(__xludf.DUMMYFUNCTION("""COMPUTED_VALUE"""),"AB_10297_B")</f>
        <v>AB_10297_B</v>
      </c>
      <c r="C989" s="19" t="str">
        <f>IFERROR(__xludf.DUMMYFUNCTION("""COMPUTED_VALUE"""),"VA10297")</f>
        <v>VA10297</v>
      </c>
      <c r="D989" s="19" t="str">
        <f>IFERROR(__xludf.DUMMYFUNCTION("""COMPUTED_VALUE"""),"San Jose de Piguchen")</f>
        <v>San Jose de Piguchen</v>
      </c>
      <c r="E989" s="19" t="str">
        <f>IFERROR(__xludf.DUMMYFUNCTION("""COMPUTED_VALUE"""),"SITIO RFI")</f>
        <v>SITIO RFI</v>
      </c>
      <c r="F989" s="19" t="str">
        <f>IFERROR(__xludf.DUMMYFUNCTION("""COMPUTED_VALUE"""),"RFI")</f>
        <v>RFI</v>
      </c>
      <c r="G989" s="19" t="str">
        <f>IFERROR(__xludf.DUMMYFUNCTION("""COMPUTED_VALUE"""),"CV30")</f>
        <v>CV30</v>
      </c>
      <c r="H989" s="19" t="str">
        <f>IFERROR(__xludf.DUMMYFUNCTION("""COMPUTED_VALUE"""),"SYC")</f>
        <v>SYC</v>
      </c>
      <c r="I989" s="19" t="str">
        <f>IFERROR(__xludf.DUMMYFUNCTION("""COMPUTED_VALUE"""),"Entregada")</f>
        <v>Entregada</v>
      </c>
      <c r="J989" s="20">
        <f>IFERROR(__xludf.DUMMYFUNCTION("""COMPUTED_VALUE"""),44708.0)</f>
        <v>44708</v>
      </c>
      <c r="K989" s="19" t="str">
        <f>IFERROR(__xludf.DUMMYFUNCTION("""COMPUTED_VALUE"""),"Entregada")</f>
        <v>Entregada</v>
      </c>
      <c r="L989" s="20">
        <f>IFERROR(__xludf.DUMMYFUNCTION("""COMPUTED_VALUE"""),44816.0)</f>
        <v>44816</v>
      </c>
      <c r="M989" s="19" t="str">
        <f>IFERROR(__xludf.DUMMYFUNCTION("""COMPUTED_VALUE"""),"PCM")</f>
        <v>PCM</v>
      </c>
      <c r="N989" s="19" t="str">
        <f>IFERROR(__xludf.DUMMYFUNCTION("""COMPUTED_VALUE"""),"PRIORIDAD 1 Q3 2023 OCTUBRE")</f>
        <v>PRIORIDAD 1 Q3 2023 OCTUBRE</v>
      </c>
    </row>
    <row r="990" ht="15.75" customHeight="1">
      <c r="A990" s="19" t="str">
        <f>IFERROR(__xludf.DUMMYFUNCTION("""COMPUTED_VALUE"""),"AB_10298")</f>
        <v>AB_10298</v>
      </c>
      <c r="B990" s="19" t="str">
        <f>IFERROR(__xludf.DUMMYFUNCTION("""COMPUTED_VALUE"""),"AB_10298_A")</f>
        <v>AB_10298_A</v>
      </c>
      <c r="C990" s="19" t="str">
        <f>IFERROR(__xludf.DUMMYFUNCTION("""COMPUTED_VALUE"""),"VA10298")</f>
        <v>VA10298</v>
      </c>
      <c r="D990" s="19" t="str">
        <f>IFERROR(__xludf.DUMMYFUNCTION("""COMPUTED_VALUE"""),"Santa Maria Las Golondrinas")</f>
        <v>Santa Maria Las Golondrinas</v>
      </c>
      <c r="E990" s="19" t="str">
        <f>IFERROR(__xludf.DUMMYFUNCTION("""COMPUTED_VALUE"""),"SITIO RFI")</f>
        <v>SITIO RFI</v>
      </c>
      <c r="F990" s="19" t="str">
        <f>IFERROR(__xludf.DUMMYFUNCTION("""COMPUTED_VALUE"""),"RFI")</f>
        <v>RFI</v>
      </c>
      <c r="G990" s="19" t="str">
        <f>IFERROR(__xludf.DUMMYFUNCTION("""COMPUTED_VALUE"""),"AS42")</f>
        <v>AS42</v>
      </c>
      <c r="H990" s="19" t="str">
        <f>IFERROR(__xludf.DUMMYFUNCTION("""COMPUTED_VALUE"""),"MER")</f>
        <v>MER</v>
      </c>
      <c r="I990" s="19" t="str">
        <f>IFERROR(__xludf.DUMMYFUNCTION("""COMPUTED_VALUE"""),"Entregada")</f>
        <v>Entregada</v>
      </c>
      <c r="J990" s="20">
        <f>IFERROR(__xludf.DUMMYFUNCTION("""COMPUTED_VALUE"""),44631.0)</f>
        <v>44631</v>
      </c>
      <c r="K990" s="19" t="str">
        <f>IFERROR(__xludf.DUMMYFUNCTION("""COMPUTED_VALUE"""),"Entregada")</f>
        <v>Entregada</v>
      </c>
      <c r="L990" s="20">
        <f>IFERROR(__xludf.DUMMYFUNCTION("""COMPUTED_VALUE"""),44631.0)</f>
        <v>44631</v>
      </c>
      <c r="M990" s="19" t="str">
        <f>IFERROR(__xludf.DUMMYFUNCTION("""COMPUTED_VALUE"""),"PCM")</f>
        <v>PCM</v>
      </c>
      <c r="N990" s="19" t="str">
        <f>IFERROR(__xludf.DUMMYFUNCTION("""COMPUTED_VALUE"""),"PRIORIDAD 1 Q3 2023 OCTUBRE")</f>
        <v>PRIORIDAD 1 Q3 2023 OCTUBRE</v>
      </c>
    </row>
    <row r="991" ht="15.75" customHeight="1">
      <c r="A991" s="19" t="str">
        <f>IFERROR(__xludf.DUMMYFUNCTION("""COMPUTED_VALUE"""),"AB_10325")</f>
        <v>AB_10325</v>
      </c>
      <c r="B991" s="19" t="str">
        <f>IFERROR(__xludf.DUMMYFUNCTION("""COMPUTED_VALUE"""),"AB_10325_A")</f>
        <v>AB_10325_A</v>
      </c>
      <c r="C991" s="19" t="str">
        <f>IFERROR(__xludf.DUMMYFUNCTION("""COMPUTED_VALUE"""),"VA10325")</f>
        <v>VA10325</v>
      </c>
      <c r="D991" s="19" t="str">
        <f>IFERROR(__xludf.DUMMYFUNCTION("""COMPUTED_VALUE"""),"Lomas del Valle Concon")</f>
        <v>Lomas del Valle Concon</v>
      </c>
      <c r="E991" s="19" t="str">
        <f>IFERROR(__xludf.DUMMYFUNCTION("""COMPUTED_VALUE"""),"SITIO CONSTRUIDO")</f>
        <v>SITIO CONSTRUIDO</v>
      </c>
      <c r="F991" s="19"/>
      <c r="G991" s="19" t="str">
        <f>IFERROR(__xludf.DUMMYFUNCTION("""COMPUTED_VALUE"""),"MP R24")</f>
        <v>MP R24</v>
      </c>
      <c r="H991" s="19" t="str">
        <f>IFERROR(__xludf.DUMMYFUNCTION("""COMPUTED_VALUE"""),"")</f>
        <v/>
      </c>
      <c r="I991" s="19" t="str">
        <f>IFERROR(__xludf.DUMMYFUNCTION("""COMPUTED_VALUE"""),"")</f>
        <v/>
      </c>
      <c r="J991" s="20" t="str">
        <f>IFERROR(__xludf.DUMMYFUNCTION("""COMPUTED_VALUE"""),"")</f>
        <v/>
      </c>
      <c r="K991" s="19" t="str">
        <f>IFERROR(__xludf.DUMMYFUNCTION("""COMPUTED_VALUE"""),"")</f>
        <v/>
      </c>
      <c r="L991" s="20" t="str">
        <f>IFERROR(__xludf.DUMMYFUNCTION("""COMPUTED_VALUE"""),"")</f>
        <v/>
      </c>
      <c r="M991" s="19" t="str">
        <f>IFERROR(__xludf.DUMMYFUNCTION("""COMPUTED_VALUE"""),"PCM")</f>
        <v>PCM</v>
      </c>
      <c r="N991" s="19" t="str">
        <f>IFERROR(__xludf.DUMMYFUNCTION("""COMPUTED_VALUE"""),"PRIORIDAD 1 Q3 2023 OCTUBRE")</f>
        <v>PRIORIDAD 1 Q3 2023 OCTUBRE</v>
      </c>
    </row>
    <row r="992" ht="15.75" customHeight="1">
      <c r="A992" s="19" t="str">
        <f>IFERROR(__xludf.DUMMYFUNCTION("""COMPUTED_VALUE"""),"AB_10331")</f>
        <v>AB_10331</v>
      </c>
      <c r="B992" s="19" t="str">
        <f>IFERROR(__xludf.DUMMYFUNCTION("""COMPUTED_VALUE"""),"AB_10331_A")</f>
        <v>AB_10331_A</v>
      </c>
      <c r="C992" s="19" t="str">
        <f>IFERROR(__xludf.DUMMYFUNCTION("""COMPUTED_VALUE"""),"VA10331")</f>
        <v>VA10331</v>
      </c>
      <c r="D992" s="19" t="str">
        <f>IFERROR(__xludf.DUMMYFUNCTION("""COMPUTED_VALUE"""),"Calle Larga San Vicente")</f>
        <v>Calle Larga San Vicente</v>
      </c>
      <c r="E992" s="19" t="str">
        <f>IFERROR(__xludf.DUMMYFUNCTION("""COMPUTED_VALUE"""),"SITIO RFI")</f>
        <v>SITIO RFI</v>
      </c>
      <c r="F992" s="19" t="str">
        <f>IFERROR(__xludf.DUMMYFUNCTION("""COMPUTED_VALUE"""),"RFI")</f>
        <v>RFI</v>
      </c>
      <c r="G992" s="19" t="str">
        <f>IFERROR(__xludf.DUMMYFUNCTION("""COMPUTED_VALUE"""),"AS30")</f>
        <v>AS30</v>
      </c>
      <c r="H992" s="19" t="str">
        <f>IFERROR(__xludf.DUMMYFUNCTION("""COMPUTED_VALUE"""),"MT")</f>
        <v>MT</v>
      </c>
      <c r="I992" s="19" t="str">
        <f>IFERROR(__xludf.DUMMYFUNCTION("""COMPUTED_VALUE"""),"Entregada")</f>
        <v>Entregada</v>
      </c>
      <c r="J992" s="20">
        <f>IFERROR(__xludf.DUMMYFUNCTION("""COMPUTED_VALUE"""),44671.0)</f>
        <v>44671</v>
      </c>
      <c r="K992" s="19" t="str">
        <f>IFERROR(__xludf.DUMMYFUNCTION("""COMPUTED_VALUE"""),"Entregada")</f>
        <v>Entregada</v>
      </c>
      <c r="L992" s="20">
        <f>IFERROR(__xludf.DUMMYFUNCTION("""COMPUTED_VALUE"""),44708.0)</f>
        <v>44708</v>
      </c>
      <c r="M992" s="19" t="str">
        <f>IFERROR(__xludf.DUMMYFUNCTION("""COMPUTED_VALUE"""),"PCM")</f>
        <v>PCM</v>
      </c>
      <c r="N992" s="19" t="str">
        <f>IFERROR(__xludf.DUMMYFUNCTION("""COMPUTED_VALUE"""),"PRIORIDAD 1 Q3 2023 OCTUBRE")</f>
        <v>PRIORIDAD 1 Q3 2023 OCTUBRE</v>
      </c>
    </row>
    <row r="993" ht="15.75" customHeight="1">
      <c r="A993" s="19" t="str">
        <f>IFERROR(__xludf.DUMMYFUNCTION("""COMPUTED_VALUE"""),"AB_10332")</f>
        <v>AB_10332</v>
      </c>
      <c r="B993" s="19" t="str">
        <f>IFERROR(__xludf.DUMMYFUNCTION("""COMPUTED_VALUE"""),"AB_10332_C")</f>
        <v>AB_10332_C</v>
      </c>
      <c r="C993" s="19" t="str">
        <f>IFERROR(__xludf.DUMMYFUNCTION("""COMPUTED_VALUE"""),"VA10332")</f>
        <v>VA10332</v>
      </c>
      <c r="D993" s="19" t="str">
        <f>IFERROR(__xludf.DUMMYFUNCTION("""COMPUTED_VALUE"""),"Cerro Potrerillo Calle Larga")</f>
        <v>Cerro Potrerillo Calle Larga</v>
      </c>
      <c r="E993" s="19" t="str">
        <f>IFERROR(__xludf.DUMMYFUNCTION("""COMPUTED_VALUE"""),"SITIO EN CONSTRUCCION")</f>
        <v>SITIO EN CONSTRUCCION</v>
      </c>
      <c r="F993" s="19" t="str">
        <f>IFERROR(__xludf.DUMMYFUNCTION("""COMPUTED_VALUE"""),"VISITA")</f>
        <v>VISITA</v>
      </c>
      <c r="G993" s="19" t="str">
        <f>IFERROR(__xludf.DUMMYFUNCTION("""COMPUTED_VALUE"""),"CV30")</f>
        <v>CV30</v>
      </c>
      <c r="H993" s="19" t="str">
        <f>IFERROR(__xludf.DUMMYFUNCTION("""COMPUTED_VALUE"""),"MARJOS")</f>
        <v>MARJOS</v>
      </c>
      <c r="I993" s="19" t="str">
        <f>IFERROR(__xludf.DUMMYFUNCTION("""COMPUTED_VALUE"""),"Terminada")</f>
        <v>Terminada</v>
      </c>
      <c r="J993" s="20">
        <f>IFERROR(__xludf.DUMMYFUNCTION("""COMPUTED_VALUE"""),44882.0)</f>
        <v>44882</v>
      </c>
      <c r="K993" s="19" t="str">
        <f>IFERROR(__xludf.DUMMYFUNCTION("""COMPUTED_VALUE"""),"Por pintar ")</f>
        <v>Por pintar </v>
      </c>
      <c r="L993" s="20">
        <f>IFERROR(__xludf.DUMMYFUNCTION("""COMPUTED_VALUE"""),44890.0)</f>
        <v>44890</v>
      </c>
      <c r="M993" s="19" t="str">
        <f>IFERROR(__xludf.DUMMYFUNCTION("""COMPUTED_VALUE"""),"PCM")</f>
        <v>PCM</v>
      </c>
      <c r="N993" s="19" t="str">
        <f>IFERROR(__xludf.DUMMYFUNCTION("""COMPUTED_VALUE"""),"PRIORIDAD 1 Q3 2023 OCTUBRE")</f>
        <v>PRIORIDAD 1 Q3 2023 OCTUBRE</v>
      </c>
    </row>
    <row r="994" ht="15.75" customHeight="1">
      <c r="A994" s="19" t="str">
        <f>IFERROR(__xludf.DUMMYFUNCTION("""COMPUTED_VALUE"""),"AB_10334")</f>
        <v>AB_10334</v>
      </c>
      <c r="B994" s="19" t="str">
        <f>IFERROR(__xludf.DUMMYFUNCTION("""COMPUTED_VALUE"""),"AB_10334_A")</f>
        <v>AB_10334_A</v>
      </c>
      <c r="C994" s="19" t="str">
        <f>IFERROR(__xludf.DUMMYFUNCTION("""COMPUTED_VALUE"""),"VA10334")</f>
        <v>VA10334</v>
      </c>
      <c r="D994" s="19" t="str">
        <f>IFERROR(__xludf.DUMMYFUNCTION("""COMPUTED_VALUE"""),"Camino San Esteban - San Miguel")</f>
        <v>Camino San Esteban - San Miguel</v>
      </c>
      <c r="E994" s="19" t="str">
        <f>IFERROR(__xludf.DUMMYFUNCTION("""COMPUTED_VALUE"""),"SITIO RFI")</f>
        <v>SITIO RFI</v>
      </c>
      <c r="F994" s="19" t="str">
        <f>IFERROR(__xludf.DUMMYFUNCTION("""COMPUTED_VALUE"""),"RFI")</f>
        <v>RFI</v>
      </c>
      <c r="G994" s="19" t="str">
        <f>IFERROR(__xludf.DUMMYFUNCTION("""COMPUTED_VALUE"""),"AS42")</f>
        <v>AS42</v>
      </c>
      <c r="H994" s="19" t="str">
        <f>IFERROR(__xludf.DUMMYFUNCTION("""COMPUTED_VALUE"""),"DEITEL")</f>
        <v>DEITEL</v>
      </c>
      <c r="I994" s="19" t="str">
        <f>IFERROR(__xludf.DUMMYFUNCTION("""COMPUTED_VALUE"""),"Entregada")</f>
        <v>Entregada</v>
      </c>
      <c r="J994" s="20">
        <f>IFERROR(__xludf.DUMMYFUNCTION("""COMPUTED_VALUE"""),44672.0)</f>
        <v>44672</v>
      </c>
      <c r="K994" s="19" t="str">
        <f>IFERROR(__xludf.DUMMYFUNCTION("""COMPUTED_VALUE"""),"Entregada")</f>
        <v>Entregada</v>
      </c>
      <c r="L994" s="20">
        <f>IFERROR(__xludf.DUMMYFUNCTION("""COMPUTED_VALUE"""),44720.0)</f>
        <v>44720</v>
      </c>
      <c r="M994" s="19" t="str">
        <f>IFERROR(__xludf.DUMMYFUNCTION("""COMPUTED_VALUE"""),"PCM")</f>
        <v>PCM</v>
      </c>
      <c r="N994" s="19" t="str">
        <f>IFERROR(__xludf.DUMMYFUNCTION("""COMPUTED_VALUE"""),"PRIORIDAD 1 Q3 2023 OCTUBRE")</f>
        <v>PRIORIDAD 1 Q3 2023 OCTUBRE</v>
      </c>
    </row>
    <row r="995" ht="15.75" customHeight="1">
      <c r="A995" s="19" t="str">
        <f>IFERROR(__xludf.DUMMYFUNCTION("""COMPUTED_VALUE"""),"AB_10337")</f>
        <v>AB_10337</v>
      </c>
      <c r="B995" s="19" t="str">
        <f>IFERROR(__xludf.DUMMYFUNCTION("""COMPUTED_VALUE"""),"AB_10337_E")</f>
        <v>AB_10337_E</v>
      </c>
      <c r="C995" s="19" t="str">
        <f>IFERROR(__xludf.DUMMYFUNCTION("""COMPUTED_VALUE"""),"VA10337")</f>
        <v>VA10337</v>
      </c>
      <c r="D995" s="19" t="str">
        <f>IFERROR(__xludf.DUMMYFUNCTION("""COMPUTED_VALUE"""),"Mirador Papudo - Zapallar")</f>
        <v>Mirador Papudo - Zapallar</v>
      </c>
      <c r="E995" s="19" t="str">
        <f>IFERROR(__xludf.DUMMYFUNCTION("""COMPUTED_VALUE"""),"SITIO EN CONSTRUCCION")</f>
        <v>SITIO EN CONSTRUCCION</v>
      </c>
      <c r="F995" s="19" t="str">
        <f>IFERROR(__xludf.DUMMYFUNCTION("""COMPUTED_VALUE"""),"VISITA")</f>
        <v>VISITA</v>
      </c>
      <c r="G995" s="19" t="str">
        <f>IFERROR(__xludf.DUMMYFUNCTION("""COMPUTED_VALUE"""),"CV36")</f>
        <v>CV36</v>
      </c>
      <c r="H995" s="19" t="str">
        <f>IFERROR(__xludf.DUMMYFUNCTION("""COMPUTED_VALUE"""),"AJ")</f>
        <v>AJ</v>
      </c>
      <c r="I995" s="19" t="str">
        <f>IFERROR(__xludf.DUMMYFUNCTION("""COMPUTED_VALUE"""),"Terminada")</f>
        <v>Terminada</v>
      </c>
      <c r="J995" s="20">
        <f>IFERROR(__xludf.DUMMYFUNCTION("""COMPUTED_VALUE"""),44697.0)</f>
        <v>44697</v>
      </c>
      <c r="K995" s="19" t="str">
        <f>IFERROR(__xludf.DUMMYFUNCTION("""COMPUTED_VALUE"""),"Por pintar ")</f>
        <v>Por pintar </v>
      </c>
      <c r="L995" s="20">
        <f>IFERROR(__xludf.DUMMYFUNCTION("""COMPUTED_VALUE"""),44867.0)</f>
        <v>44867</v>
      </c>
      <c r="M995" s="19" t="str">
        <f>IFERROR(__xludf.DUMMYFUNCTION("""COMPUTED_VALUE"""),"PCM")</f>
        <v>PCM</v>
      </c>
      <c r="N995" s="19" t="str">
        <f>IFERROR(__xludf.DUMMYFUNCTION("""COMPUTED_VALUE"""),"PRIORIDAD 1 Q3 2023 OCTUBRE")</f>
        <v>PRIORIDAD 1 Q3 2023 OCTUBRE</v>
      </c>
    </row>
    <row r="996" ht="15.75" customHeight="1">
      <c r="A996" s="19" t="str">
        <f>IFERROR(__xludf.DUMMYFUNCTION("""COMPUTED_VALUE"""),"AB_10339")</f>
        <v>AB_10339</v>
      </c>
      <c r="B996" s="19" t="str">
        <f>IFERROR(__xludf.DUMMYFUNCTION("""COMPUTED_VALUE"""),"AB_10339_A")</f>
        <v>AB_10339_A</v>
      </c>
      <c r="C996" s="19" t="str">
        <f>IFERROR(__xludf.DUMMYFUNCTION("""COMPUTED_VALUE"""),"VA10339")</f>
        <v>VA10339</v>
      </c>
      <c r="D996" s="19" t="str">
        <f>IFERROR(__xludf.DUMMYFUNCTION("""COMPUTED_VALUE"""),"Petorca Chalaco")</f>
        <v>Petorca Chalaco</v>
      </c>
      <c r="E996" s="19" t="str">
        <f>IFERROR(__xludf.DUMMYFUNCTION("""COMPUTED_VALUE"""),"SITIO RFI")</f>
        <v>SITIO RFI</v>
      </c>
      <c r="F996" s="19" t="str">
        <f>IFERROR(__xludf.DUMMYFUNCTION("""COMPUTED_VALUE"""),"RFI")</f>
        <v>RFI</v>
      </c>
      <c r="G996" s="19" t="str">
        <f>IFERROR(__xludf.DUMMYFUNCTION("""COMPUTED_VALUE"""),"AS48")</f>
        <v>AS48</v>
      </c>
      <c r="H996" s="19" t="str">
        <f>IFERROR(__xludf.DUMMYFUNCTION("""COMPUTED_VALUE"""),"MER")</f>
        <v>MER</v>
      </c>
      <c r="I996" s="19" t="str">
        <f>IFERROR(__xludf.DUMMYFUNCTION("""COMPUTED_VALUE"""),"Entregada")</f>
        <v>Entregada</v>
      </c>
      <c r="J996" s="20">
        <f>IFERROR(__xludf.DUMMYFUNCTION("""COMPUTED_VALUE"""),44722.0)</f>
        <v>44722</v>
      </c>
      <c r="K996" s="19" t="str">
        <f>IFERROR(__xludf.DUMMYFUNCTION("""COMPUTED_VALUE"""),"Entregada")</f>
        <v>Entregada</v>
      </c>
      <c r="L996" s="20">
        <f>IFERROR(__xludf.DUMMYFUNCTION("""COMPUTED_VALUE"""),44743.0)</f>
        <v>44743</v>
      </c>
      <c r="M996" s="19" t="str">
        <f>IFERROR(__xludf.DUMMYFUNCTION("""COMPUTED_VALUE"""),"PCM")</f>
        <v>PCM</v>
      </c>
      <c r="N996" s="19" t="str">
        <f>IFERROR(__xludf.DUMMYFUNCTION("""COMPUTED_VALUE"""),"PRIORIDAD 1 Q3 2023 OCTUBRE")</f>
        <v>PRIORIDAD 1 Q3 2023 OCTUBRE</v>
      </c>
    </row>
    <row r="997" ht="15.75" customHeight="1">
      <c r="A997" s="19" t="str">
        <f>IFERROR(__xludf.DUMMYFUNCTION("""COMPUTED_VALUE"""),"AB_1034")</f>
        <v>AB_1034</v>
      </c>
      <c r="B997" s="19" t="str">
        <f>IFERROR(__xludf.DUMMYFUNCTION("""COMPUTED_VALUE"""),"AB_1034_A")</f>
        <v>AB_1034_A</v>
      </c>
      <c r="C997" s="19" t="str">
        <f>IFERROR(__xludf.DUMMYFUNCTION("""COMPUTED_VALUE"""),"VA1034")</f>
        <v>VA1034</v>
      </c>
      <c r="D997" s="19" t="str">
        <f>IFERROR(__xludf.DUMMYFUNCTION("""COMPUTED_VALUE"""),"Centro de Ski Portillo")</f>
        <v>Centro de Ski Portillo</v>
      </c>
      <c r="E997" s="19" t="str">
        <f>IFERROR(__xludf.DUMMYFUNCTION("""COMPUTED_VALUE"""),"SITIO RFI")</f>
        <v>SITIO RFI</v>
      </c>
      <c r="F997" s="19" t="str">
        <f>IFERROR(__xludf.DUMMYFUNCTION("""COMPUTED_VALUE"""),"RFI")</f>
        <v>RFI</v>
      </c>
      <c r="G997" s="19" t="str">
        <f>IFERROR(__xludf.DUMMYFUNCTION("""COMPUTED_VALUE"""),"AS42")</f>
        <v>AS42</v>
      </c>
      <c r="H997" s="19" t="str">
        <f>IFERROR(__xludf.DUMMYFUNCTION("""COMPUTED_VALUE"""),"MER")</f>
        <v>MER</v>
      </c>
      <c r="I997" s="19" t="str">
        <f>IFERROR(__xludf.DUMMYFUNCTION("""COMPUTED_VALUE"""),"Entregada")</f>
        <v>Entregada</v>
      </c>
      <c r="J997" s="20">
        <f>IFERROR(__xludf.DUMMYFUNCTION("""COMPUTED_VALUE"""),44722.0)</f>
        <v>44722</v>
      </c>
      <c r="K997" s="19" t="str">
        <f>IFERROR(__xludf.DUMMYFUNCTION("""COMPUTED_VALUE"""),"Entregada")</f>
        <v>Entregada</v>
      </c>
      <c r="L997" s="20">
        <f>IFERROR(__xludf.DUMMYFUNCTION("""COMPUTED_VALUE"""),44729.0)</f>
        <v>44729</v>
      </c>
      <c r="M997" s="19" t="str">
        <f>IFERROR(__xludf.DUMMYFUNCTION("""COMPUTED_VALUE"""),"PCM")</f>
        <v>PCM</v>
      </c>
      <c r="N997" s="19" t="str">
        <f>IFERROR(__xludf.DUMMYFUNCTION("""COMPUTED_VALUE"""),"PRIORIDAD 1 Q3 2023 OCTUBRE")</f>
        <v>PRIORIDAD 1 Q3 2023 OCTUBRE</v>
      </c>
    </row>
    <row r="998" ht="15.75" customHeight="1">
      <c r="A998" s="19" t="str">
        <f>IFERROR(__xludf.DUMMYFUNCTION("""COMPUTED_VALUE"""),"AB_10340")</f>
        <v>AB_10340</v>
      </c>
      <c r="B998" s="19" t="str">
        <f>IFERROR(__xludf.DUMMYFUNCTION("""COMPUTED_VALUE"""),"AB_10340_D")</f>
        <v>AB_10340_D</v>
      </c>
      <c r="C998" s="19" t="str">
        <f>IFERROR(__xludf.DUMMYFUNCTION("""COMPUTED_VALUE"""),"VA10340")</f>
        <v>VA10340</v>
      </c>
      <c r="D998" s="19" t="str">
        <f>IFERROR(__xludf.DUMMYFUNCTION("""COMPUTED_VALUE"""),"Valle Del Estero Zapallar")</f>
        <v>Valle Del Estero Zapallar</v>
      </c>
      <c r="E998" s="19" t="str">
        <f>IFERROR(__xludf.DUMMYFUNCTION("""COMPUTED_VALUE"""),"SITIO RFI")</f>
        <v>SITIO RFI</v>
      </c>
      <c r="F998" s="19" t="str">
        <f>IFERROR(__xludf.DUMMYFUNCTION("""COMPUTED_VALUE"""),"RFI")</f>
        <v>RFI</v>
      </c>
      <c r="G998" s="19" t="str">
        <f>IFERROR(__xludf.DUMMYFUNCTION("""COMPUTED_VALUE"""),"AS42")</f>
        <v>AS42</v>
      </c>
      <c r="H998" s="19" t="str">
        <f>IFERROR(__xludf.DUMMYFUNCTION("""COMPUTED_VALUE"""),"JTI")</f>
        <v>JTI</v>
      </c>
      <c r="I998" s="19" t="str">
        <f>IFERROR(__xludf.DUMMYFUNCTION("""COMPUTED_VALUE"""),"Entregada")</f>
        <v>Entregada</v>
      </c>
      <c r="J998" s="20">
        <f>IFERROR(__xludf.DUMMYFUNCTION("""COMPUTED_VALUE"""),44643.0)</f>
        <v>44643</v>
      </c>
      <c r="K998" s="19" t="str">
        <f>IFERROR(__xludf.DUMMYFUNCTION("""COMPUTED_VALUE"""),"Entregada")</f>
        <v>Entregada</v>
      </c>
      <c r="L998" s="20">
        <f>IFERROR(__xludf.DUMMYFUNCTION("""COMPUTED_VALUE"""),44643.0)</f>
        <v>44643</v>
      </c>
      <c r="M998" s="19" t="str">
        <f>IFERROR(__xludf.DUMMYFUNCTION("""COMPUTED_VALUE"""),"PCM")</f>
        <v>PCM</v>
      </c>
      <c r="N998" s="19" t="str">
        <f>IFERROR(__xludf.DUMMYFUNCTION("""COMPUTED_VALUE"""),"PRIORIDAD 1 Q3 2023 OCTUBRE")</f>
        <v>PRIORIDAD 1 Q3 2023 OCTUBRE</v>
      </c>
    </row>
    <row r="999" ht="15.75" customHeight="1">
      <c r="A999" s="19" t="str">
        <f>IFERROR(__xludf.DUMMYFUNCTION("""COMPUTED_VALUE"""),"AB_10341")</f>
        <v>AB_10341</v>
      </c>
      <c r="B999" s="19" t="str">
        <f>IFERROR(__xludf.DUMMYFUNCTION("""COMPUTED_VALUE"""),"AB_10341_E")</f>
        <v>AB_10341_E</v>
      </c>
      <c r="C999" s="19" t="str">
        <f>IFERROR(__xludf.DUMMYFUNCTION("""COMPUTED_VALUE"""),"VA10341")</f>
        <v>VA10341</v>
      </c>
      <c r="D999" s="19" t="str">
        <f>IFERROR(__xludf.DUMMYFUNCTION("""COMPUTED_VALUE"""),"Catapilco - Laguna Zapallar")</f>
        <v>Catapilco - Laguna Zapallar</v>
      </c>
      <c r="E999" s="19" t="str">
        <f>IFERROR(__xludf.DUMMYFUNCTION("""COMPUTED_VALUE"""),"SITIO EN CONSTRUCCION")</f>
        <v>SITIO EN CONSTRUCCION</v>
      </c>
      <c r="F999" s="19" t="str">
        <f>IFERROR(__xludf.DUMMYFUNCTION("""COMPUTED_VALUE"""),"EXCAVACION")</f>
        <v>EXCAVACION</v>
      </c>
      <c r="G999" s="19" t="str">
        <f>IFERROR(__xludf.DUMMYFUNCTION("""COMPUTED_VALUE"""),"AS48")</f>
        <v>AS48</v>
      </c>
      <c r="H999" s="19" t="str">
        <f>IFERROR(__xludf.DUMMYFUNCTION("""COMPUTED_VALUE"""),"SYC")</f>
        <v>SYC</v>
      </c>
      <c r="I999" s="19" t="str">
        <f>IFERROR(__xludf.DUMMYFUNCTION("""COMPUTED_VALUE"""),"En fabricacion")</f>
        <v>En fabricacion</v>
      </c>
      <c r="J999" s="20">
        <f>IFERROR(__xludf.DUMMYFUNCTION("""COMPUTED_VALUE"""),45163.0)</f>
        <v>45163</v>
      </c>
      <c r="K999" s="19" t="str">
        <f>IFERROR(__xludf.DUMMYFUNCTION("""COMPUTED_VALUE"""),"Asignada")</f>
        <v>Asignada</v>
      </c>
      <c r="L999" s="20">
        <f>IFERROR(__xludf.DUMMYFUNCTION("""COMPUTED_VALUE"""),45184.0)</f>
        <v>45184</v>
      </c>
      <c r="M999" s="19" t="str">
        <f>IFERROR(__xludf.DUMMYFUNCTION("""COMPUTED_VALUE"""),"PCM")</f>
        <v>PCM</v>
      </c>
      <c r="N999" s="19" t="str">
        <f>IFERROR(__xludf.DUMMYFUNCTION("""COMPUTED_VALUE"""),"PRIORIDAD 1 Q3 2023 OCTUBRE")</f>
        <v>PRIORIDAD 1 Q3 2023 OCTUBRE</v>
      </c>
    </row>
    <row r="1000" ht="15.75" customHeight="1">
      <c r="A1000" s="19" t="str">
        <f>IFERROR(__xludf.DUMMYFUNCTION("""COMPUTED_VALUE"""),"AB_10342")</f>
        <v>AB_10342</v>
      </c>
      <c r="B1000" s="19" t="str">
        <f>IFERROR(__xludf.DUMMYFUNCTION("""COMPUTED_VALUE"""),"AB_10342_A")</f>
        <v>AB_10342_A</v>
      </c>
      <c r="C1000" s="19" t="str">
        <f>IFERROR(__xludf.DUMMYFUNCTION("""COMPUTED_VALUE"""),"VA10342")</f>
        <v>VA10342</v>
      </c>
      <c r="D1000" s="19" t="str">
        <f>IFERROR(__xludf.DUMMYFUNCTION("""COMPUTED_VALUE"""),"Granja La Gloria Calera")</f>
        <v>Granja La Gloria Calera</v>
      </c>
      <c r="E1000" s="19" t="str">
        <f>IFERROR(__xludf.DUMMYFUNCTION("""COMPUTED_VALUE"""),"SITIO RFI")</f>
        <v>SITIO RFI</v>
      </c>
      <c r="F1000" s="19" t="str">
        <f>IFERROR(__xludf.DUMMYFUNCTION("""COMPUTED_VALUE"""),"RFI")</f>
        <v>RFI</v>
      </c>
      <c r="G1000" s="19" t="str">
        <f>IFERROR(__xludf.DUMMYFUNCTION("""COMPUTED_VALUE"""),"AS42")</f>
        <v>AS42</v>
      </c>
      <c r="H1000" s="19" t="str">
        <f>IFERROR(__xludf.DUMMYFUNCTION("""COMPUTED_VALUE"""),"DEITEL")</f>
        <v>DEITEL</v>
      </c>
      <c r="I1000" s="19" t="str">
        <f>IFERROR(__xludf.DUMMYFUNCTION("""COMPUTED_VALUE"""),"Entregada")</f>
        <v>Entregada</v>
      </c>
      <c r="J1000" s="20">
        <f>IFERROR(__xludf.DUMMYFUNCTION("""COMPUTED_VALUE"""),44672.0)</f>
        <v>44672</v>
      </c>
      <c r="K1000" s="19" t="str">
        <f>IFERROR(__xludf.DUMMYFUNCTION("""COMPUTED_VALUE"""),"Entregada")</f>
        <v>Entregada</v>
      </c>
      <c r="L1000" s="20">
        <f>IFERROR(__xludf.DUMMYFUNCTION("""COMPUTED_VALUE"""),44720.0)</f>
        <v>44720</v>
      </c>
      <c r="M1000" s="19" t="str">
        <f>IFERROR(__xludf.DUMMYFUNCTION("""COMPUTED_VALUE"""),"PCM")</f>
        <v>PCM</v>
      </c>
      <c r="N1000" s="19" t="str">
        <f>IFERROR(__xludf.DUMMYFUNCTION("""COMPUTED_VALUE"""),"PRIORIDAD 1 Q3 2023 OCTUBRE")</f>
        <v>PRIORIDAD 1 Q3 2023 OCTUBRE</v>
      </c>
    </row>
    <row r="1001" ht="15.75" customHeight="1">
      <c r="A1001" s="19" t="str">
        <f>IFERROR(__xludf.DUMMYFUNCTION("""COMPUTED_VALUE"""),"AB_10343")</f>
        <v>AB_10343</v>
      </c>
      <c r="B1001" s="19" t="str">
        <f>IFERROR(__xludf.DUMMYFUNCTION("""COMPUTED_VALUE"""),"AB_10343_A")</f>
        <v>AB_10343_A</v>
      </c>
      <c r="C1001" s="19" t="str">
        <f>IFERROR(__xludf.DUMMYFUNCTION("""COMPUTED_VALUE"""),"VA10343")</f>
        <v>VA10343</v>
      </c>
      <c r="D1001" s="19" t="str">
        <f>IFERROR(__xludf.DUMMYFUNCTION("""COMPUTED_VALUE"""),"Purehue")</f>
        <v>Purehue</v>
      </c>
      <c r="E1001" s="19" t="str">
        <f>IFERROR(__xludf.DUMMYFUNCTION("""COMPUTED_VALUE"""),"SITIO RFI")</f>
        <v>SITIO RFI</v>
      </c>
      <c r="F1001" s="19" t="str">
        <f>IFERROR(__xludf.DUMMYFUNCTION("""COMPUTED_VALUE"""),"RFI")</f>
        <v>RFI</v>
      </c>
      <c r="G1001" s="19" t="str">
        <f>IFERROR(__xludf.DUMMYFUNCTION("""COMPUTED_VALUE"""),"AS60")</f>
        <v>AS60</v>
      </c>
      <c r="H1001" s="19" t="str">
        <f>IFERROR(__xludf.DUMMYFUNCTION("""COMPUTED_VALUE"""),"AJ")</f>
        <v>AJ</v>
      </c>
      <c r="I1001" s="19" t="str">
        <f>IFERROR(__xludf.DUMMYFUNCTION("""COMPUTED_VALUE"""),"Entregada")</f>
        <v>Entregada</v>
      </c>
      <c r="J1001" s="20">
        <f>IFERROR(__xludf.DUMMYFUNCTION("""COMPUTED_VALUE"""),44656.0)</f>
        <v>44656</v>
      </c>
      <c r="K1001" s="19" t="str">
        <f>IFERROR(__xludf.DUMMYFUNCTION("""COMPUTED_VALUE"""),"Entregada")</f>
        <v>Entregada</v>
      </c>
      <c r="L1001" s="20">
        <f>IFERROR(__xludf.DUMMYFUNCTION("""COMPUTED_VALUE"""),44636.0)</f>
        <v>44636</v>
      </c>
      <c r="M1001" s="19" t="str">
        <f>IFERROR(__xludf.DUMMYFUNCTION("""COMPUTED_VALUE"""),"PCM")</f>
        <v>PCM</v>
      </c>
      <c r="N1001" s="19" t="str">
        <f>IFERROR(__xludf.DUMMYFUNCTION("""COMPUTED_VALUE"""),"PRIORIDAD 1 Q3 2023 OCTUBRE")</f>
        <v>PRIORIDAD 1 Q3 2023 OCTUBRE</v>
      </c>
    </row>
    <row r="1002" ht="15.75" customHeight="1">
      <c r="A1002" s="19" t="str">
        <f>IFERROR(__xludf.DUMMYFUNCTION("""COMPUTED_VALUE"""),"AB_10460")</f>
        <v>AB_10460</v>
      </c>
      <c r="B1002" s="19" t="str">
        <f>IFERROR(__xludf.DUMMYFUNCTION("""COMPUTED_VALUE"""),"AB_10460_D")</f>
        <v>AB_10460_D</v>
      </c>
      <c r="C1002" s="19" t="str">
        <f>IFERROR(__xludf.DUMMYFUNCTION("""COMPUTED_VALUE"""),"VA10460")</f>
        <v>VA10460</v>
      </c>
      <c r="D1002" s="19" t="str">
        <f>IFERROR(__xludf.DUMMYFUNCTION("""COMPUTED_VALUE"""),"La Poza Catemu")</f>
        <v>La Poza Catemu</v>
      </c>
      <c r="E1002" s="19" t="str">
        <f>IFERROR(__xludf.DUMMYFUNCTION("""COMPUTED_VALUE"""),"SITIO RFI")</f>
        <v>SITIO RFI</v>
      </c>
      <c r="F1002" s="19" t="str">
        <f>IFERROR(__xludf.DUMMYFUNCTION("""COMPUTED_VALUE"""),"RFI")</f>
        <v>RFI</v>
      </c>
      <c r="G1002" s="19" t="str">
        <f>IFERROR(__xludf.DUMMYFUNCTION("""COMPUTED_VALUE"""),"CV48")</f>
        <v>CV48</v>
      </c>
      <c r="H1002" s="19" t="str">
        <f>IFERROR(__xludf.DUMMYFUNCTION("""COMPUTED_VALUE"""),"ADM")</f>
        <v>ADM</v>
      </c>
      <c r="I1002" s="19" t="str">
        <f>IFERROR(__xludf.DUMMYFUNCTION("""COMPUTED_VALUE"""),"Entregada")</f>
        <v>Entregada</v>
      </c>
      <c r="J1002" s="20">
        <f>IFERROR(__xludf.DUMMYFUNCTION("""COMPUTED_VALUE"""),44736.0)</f>
        <v>44736</v>
      </c>
      <c r="K1002" s="19" t="str">
        <f>IFERROR(__xludf.DUMMYFUNCTION("""COMPUTED_VALUE"""),"Entregada")</f>
        <v>Entregada</v>
      </c>
      <c r="L1002" s="20">
        <f>IFERROR(__xludf.DUMMYFUNCTION("""COMPUTED_VALUE"""),44771.0)</f>
        <v>44771</v>
      </c>
      <c r="M1002" s="19" t="str">
        <f>IFERROR(__xludf.DUMMYFUNCTION("""COMPUTED_VALUE"""),"PCM")</f>
        <v>PCM</v>
      </c>
      <c r="N1002" s="19" t="str">
        <f>IFERROR(__xludf.DUMMYFUNCTION("""COMPUTED_VALUE"""),"PRIORIDAD 1 Q3 2023 OCTUBRE")</f>
        <v>PRIORIDAD 1 Q3 2023 OCTUBRE</v>
      </c>
    </row>
    <row r="1003" ht="15.75" customHeight="1">
      <c r="A1003" s="19" t="str">
        <f>IFERROR(__xludf.DUMMYFUNCTION("""COMPUTED_VALUE"""),"AB_10625")</f>
        <v>AB_10625</v>
      </c>
      <c r="B1003" s="19" t="str">
        <f>IFERROR(__xludf.DUMMYFUNCTION("""COMPUTED_VALUE"""),"AB_10625_A")</f>
        <v>AB_10625_A</v>
      </c>
      <c r="C1003" s="19" t="str">
        <f>IFERROR(__xludf.DUMMYFUNCTION("""COMPUTED_VALUE"""),"VA10625")</f>
        <v>VA10625</v>
      </c>
      <c r="D1003" s="19" t="str">
        <f>IFERROR(__xludf.DUMMYFUNCTION("""COMPUTED_VALUE"""),"Siete Hermanas RU")</f>
        <v>Siete Hermanas RU</v>
      </c>
      <c r="E1003" s="19" t="str">
        <f>IFERROR(__xludf.DUMMYFUNCTION("""COMPUTED_VALUE"""),"SITIO RFI")</f>
        <v>SITIO RFI</v>
      </c>
      <c r="F1003" s="19" t="str">
        <f>IFERROR(__xludf.DUMMYFUNCTION("""COMPUTED_VALUE"""),"RFI")</f>
        <v>RFI</v>
      </c>
      <c r="G1003" s="19" t="str">
        <f>IFERROR(__xludf.DUMMYFUNCTION("""COMPUTED_VALUE"""),"Existente")</f>
        <v>Existente</v>
      </c>
      <c r="H1003" s="19" t="str">
        <f>IFERROR(__xludf.DUMMYFUNCTION("""COMPUTED_VALUE"""),"x")</f>
        <v>x</v>
      </c>
      <c r="I1003" s="19" t="str">
        <f>IFERROR(__xludf.DUMMYFUNCTION("""COMPUTED_VALUE"""),"x")</f>
        <v>x</v>
      </c>
      <c r="J1003" s="20" t="str">
        <f>IFERROR(__xludf.DUMMYFUNCTION("""COMPUTED_VALUE"""),"x")</f>
        <v>x</v>
      </c>
      <c r="K1003" s="19" t="str">
        <f>IFERROR(__xludf.DUMMYFUNCTION("""COMPUTED_VALUE"""),"x")</f>
        <v>x</v>
      </c>
      <c r="L1003" s="20" t="str">
        <f>IFERROR(__xludf.DUMMYFUNCTION("""COMPUTED_VALUE"""),"x")</f>
        <v>x</v>
      </c>
      <c r="M1003" s="19" t="str">
        <f>IFERROR(__xludf.DUMMYFUNCTION("""COMPUTED_VALUE"""),"PCM")</f>
        <v>PCM</v>
      </c>
      <c r="N1003" s="19" t="str">
        <f>IFERROR(__xludf.DUMMYFUNCTION("""COMPUTED_VALUE"""),"PRIORIDAD 1 Q3 2023 OCTUBRE")</f>
        <v>PRIORIDAD 1 Q3 2023 OCTUBRE</v>
      </c>
    </row>
    <row r="1004" ht="15.75" customHeight="1">
      <c r="A1004" s="19" t="str">
        <f>IFERROR(__xludf.DUMMYFUNCTION("""COMPUTED_VALUE"""),"AB_10649")</f>
        <v>AB_10649</v>
      </c>
      <c r="B1004" s="19" t="str">
        <f>IFERROR(__xludf.DUMMYFUNCTION("""COMPUTED_VALUE"""),"AB_10649_B")</f>
        <v>AB_10649_B</v>
      </c>
      <c r="C1004" s="19" t="str">
        <f>IFERROR(__xludf.DUMMYFUNCTION("""COMPUTED_VALUE"""),"VA10649")</f>
        <v>VA10649</v>
      </c>
      <c r="D1004" s="19" t="str">
        <f>IFERROR(__xludf.DUMMYFUNCTION("""COMPUTED_VALUE"""),"Campomar Papudo 3.5GHz")</f>
        <v>Campomar Papudo 3.5GHz</v>
      </c>
      <c r="E1004" s="19" t="str">
        <f>IFERROR(__xludf.DUMMYFUNCTION("""COMPUTED_VALUE"""),"SITIO RFI")</f>
        <v>SITIO RFI</v>
      </c>
      <c r="F1004" s="19" t="str">
        <f>IFERROR(__xludf.DUMMYFUNCTION("""COMPUTED_VALUE"""),"RFI")</f>
        <v>RFI</v>
      </c>
      <c r="G1004" s="19" t="str">
        <f>IFERROR(__xludf.DUMMYFUNCTION("""COMPUTED_VALUE"""),"MP42")</f>
        <v>MP42</v>
      </c>
      <c r="H1004" s="19" t="str">
        <f>IFERROR(__xludf.DUMMYFUNCTION("""COMPUTED_VALUE"""),"MER")</f>
        <v>MER</v>
      </c>
      <c r="I1004" s="19" t="str">
        <f>IFERROR(__xludf.DUMMYFUNCTION("""COMPUTED_VALUE"""),"Entregada")</f>
        <v>Entregada</v>
      </c>
      <c r="J1004" s="20">
        <f>IFERROR(__xludf.DUMMYFUNCTION("""COMPUTED_VALUE"""),44670.0)</f>
        <v>44670</v>
      </c>
      <c r="K1004" s="19" t="str">
        <f>IFERROR(__xludf.DUMMYFUNCTION("""COMPUTED_VALUE"""),"Entregada")</f>
        <v>Entregada</v>
      </c>
      <c r="L1004" s="20">
        <f>IFERROR(__xludf.DUMMYFUNCTION("""COMPUTED_VALUE"""),44694.0)</f>
        <v>44694</v>
      </c>
      <c r="M1004" s="19" t="str">
        <f>IFERROR(__xludf.DUMMYFUNCTION("""COMPUTED_VALUE"""),"PCM")</f>
        <v>PCM</v>
      </c>
      <c r="N1004" s="19" t="str">
        <f>IFERROR(__xludf.DUMMYFUNCTION("""COMPUTED_VALUE"""),"PRIORIDAD 1 Q3 2023 OCTUBRE")</f>
        <v>PRIORIDAD 1 Q3 2023 OCTUBRE</v>
      </c>
    </row>
    <row r="1005" ht="15.75" customHeight="1">
      <c r="A1005" s="19" t="str">
        <f>IFERROR(__xludf.DUMMYFUNCTION("""COMPUTED_VALUE"""),"AB_10738")</f>
        <v>AB_10738</v>
      </c>
      <c r="B1005" s="19" t="str">
        <f>IFERROR(__xludf.DUMMYFUNCTION("""COMPUTED_VALUE"""),"AB_10738_A")</f>
        <v>AB_10738_A</v>
      </c>
      <c r="C1005" s="19" t="str">
        <f>IFERROR(__xludf.DUMMYFUNCTION("""COMPUTED_VALUE"""),"VA10738")</f>
        <v>VA10738</v>
      </c>
      <c r="D1005" s="19" t="str">
        <f>IFERROR(__xludf.DUMMYFUNCTION("""COMPUTED_VALUE"""),"Panquehue Reubicacion")</f>
        <v>Panquehue Reubicacion</v>
      </c>
      <c r="E1005" s="19" t="str">
        <f>IFERROR(__xludf.DUMMYFUNCTION("""COMPUTED_VALUE"""),"SITIO RFI")</f>
        <v>SITIO RFI</v>
      </c>
      <c r="F1005" s="19" t="str">
        <f>IFERROR(__xludf.DUMMYFUNCTION("""COMPUTED_VALUE"""),"RFI")</f>
        <v>RFI</v>
      </c>
      <c r="G1005" s="19" t="str">
        <f>IFERROR(__xludf.DUMMYFUNCTION("""COMPUTED_VALUE"""),"MP42")</f>
        <v>MP42</v>
      </c>
      <c r="H1005" s="19" t="str">
        <f>IFERROR(__xludf.DUMMYFUNCTION("""COMPUTED_VALUE"""),"MER")</f>
        <v>MER</v>
      </c>
      <c r="I1005" s="19" t="str">
        <f>IFERROR(__xludf.DUMMYFUNCTION("""COMPUTED_VALUE"""),"Entregada")</f>
        <v>Entregada</v>
      </c>
      <c r="J1005" s="20">
        <f>IFERROR(__xludf.DUMMYFUNCTION("""COMPUTED_VALUE"""),44714.0)</f>
        <v>44714</v>
      </c>
      <c r="K1005" s="19" t="str">
        <f>IFERROR(__xludf.DUMMYFUNCTION("""COMPUTED_VALUE"""),"Entregada")</f>
        <v>Entregada</v>
      </c>
      <c r="L1005" s="20">
        <f>IFERROR(__xludf.DUMMYFUNCTION("""COMPUTED_VALUE"""),44722.0)</f>
        <v>44722</v>
      </c>
      <c r="M1005" s="19" t="str">
        <f>IFERROR(__xludf.DUMMYFUNCTION("""COMPUTED_VALUE"""),"PCM")</f>
        <v>PCM</v>
      </c>
      <c r="N1005" s="19" t="str">
        <f>IFERROR(__xludf.DUMMYFUNCTION("""COMPUTED_VALUE"""),"PRIORIDAD 1 Q3 2023 OCTUBRE")</f>
        <v>PRIORIDAD 1 Q3 2023 OCTUBRE</v>
      </c>
    </row>
    <row r="1006" ht="15.75" customHeight="1">
      <c r="A1006" s="19" t="str">
        <f>IFERROR(__xludf.DUMMYFUNCTION("""COMPUTED_VALUE"""),"AB_11295")</f>
        <v>AB_11295</v>
      </c>
      <c r="B1006" s="19" t="str">
        <f>IFERROR(__xludf.DUMMYFUNCTION("""COMPUTED_VALUE"""),"AB_11295_A")</f>
        <v>AB_11295_A</v>
      </c>
      <c r="C1006" s="19" t="str">
        <f>IFERROR(__xludf.DUMMYFUNCTION("""COMPUTED_VALUE"""),"VA11295")</f>
        <v>VA11295</v>
      </c>
      <c r="D1006" s="19" t="str">
        <f>IFERROR(__xludf.DUMMYFUNCTION("""COMPUTED_VALUE"""),"Los Andes Repetidor Oriente")</f>
        <v>Los Andes Repetidor Oriente</v>
      </c>
      <c r="E1006" s="19" t="str">
        <f>IFERROR(__xludf.DUMMYFUNCTION("""COMPUTED_VALUE"""),"SITIO EN CONSTRUCCION")</f>
        <v>SITIO EN CONSTRUCCION</v>
      </c>
      <c r="F1006" s="19" t="str">
        <f>IFERROR(__xludf.DUMMYFUNCTION("""COMPUTED_VALUE"""),"EXCAVACION")</f>
        <v>EXCAVACION</v>
      </c>
      <c r="G1006" s="19" t="str">
        <f>IFERROR(__xludf.DUMMYFUNCTION("""COMPUTED_VALUE"""),"CV42")</f>
        <v>CV42</v>
      </c>
      <c r="H1006" s="19" t="str">
        <f>IFERROR(__xludf.DUMMYFUNCTION("""COMPUTED_VALUE"""),"SYC")</f>
        <v>SYC</v>
      </c>
      <c r="I1006" s="19" t="str">
        <f>IFERROR(__xludf.DUMMYFUNCTION("""COMPUTED_VALUE"""),"Entregada")</f>
        <v>Entregada</v>
      </c>
      <c r="J1006" s="20">
        <f>IFERROR(__xludf.DUMMYFUNCTION("""COMPUTED_VALUE"""),44890.0)</f>
        <v>44890</v>
      </c>
      <c r="K1006" s="19" t="str">
        <f>IFERROR(__xludf.DUMMYFUNCTION("""COMPUTED_VALUE"""),"Entregada")</f>
        <v>Entregada</v>
      </c>
      <c r="L1006" s="20">
        <f>IFERROR(__xludf.DUMMYFUNCTION("""COMPUTED_VALUE"""),44897.0)</f>
        <v>44897</v>
      </c>
      <c r="M1006" s="19" t="str">
        <f>IFERROR(__xludf.DUMMYFUNCTION("""COMPUTED_VALUE"""),"PCM_2")</f>
        <v>PCM_2</v>
      </c>
      <c r="N1006" s="19" t="str">
        <f>IFERROR(__xludf.DUMMYFUNCTION("""COMPUTED_VALUE"""),"PRIORIDAD 1 Q3 2023 OCTUBRE")</f>
        <v>PRIORIDAD 1 Q3 2023 OCTUBRE</v>
      </c>
    </row>
    <row r="1007" ht="15.75" customHeight="1">
      <c r="A1007" s="19" t="str">
        <f>IFERROR(__xludf.DUMMYFUNCTION("""COMPUTED_VALUE"""),"AB_11299")</f>
        <v>AB_11299</v>
      </c>
      <c r="B1007" s="19" t="str">
        <f>IFERROR(__xludf.DUMMYFUNCTION("""COMPUTED_VALUE"""),"AB_11299_A")</f>
        <v>AB_11299_A</v>
      </c>
      <c r="C1007" s="19" t="str">
        <f>IFERROR(__xludf.DUMMYFUNCTION("""COMPUTED_VALUE"""),"VA11299")</f>
        <v>VA11299</v>
      </c>
      <c r="D1007" s="19" t="str">
        <f>IFERROR(__xludf.DUMMYFUNCTION("""COMPUTED_VALUE"""),"Tunquen Playa")</f>
        <v>Tunquen Playa</v>
      </c>
      <c r="E1007" s="19" t="str">
        <f>IFERROR(__xludf.DUMMYFUNCTION("""COMPUTED_VALUE"""),"SITIO PENDIENTE")</f>
        <v>SITIO PENDIENTE</v>
      </c>
      <c r="F1007" s="19"/>
      <c r="G1007" s="19" t="str">
        <f>IFERROR(__xludf.DUMMYFUNCTION("""COMPUTED_VALUE"""),"x")</f>
        <v>x</v>
      </c>
      <c r="H1007" s="19" t="str">
        <f>IFERROR(__xludf.DUMMYFUNCTION("""COMPUTED_VALUE"""),"x")</f>
        <v>x</v>
      </c>
      <c r="I1007" s="19" t="str">
        <f>IFERROR(__xludf.DUMMYFUNCTION("""COMPUTED_VALUE"""),"x")</f>
        <v>x</v>
      </c>
      <c r="J1007" s="20" t="str">
        <f>IFERROR(__xludf.DUMMYFUNCTION("""COMPUTED_VALUE"""),"x")</f>
        <v>x</v>
      </c>
      <c r="K1007" s="19" t="str">
        <f>IFERROR(__xludf.DUMMYFUNCTION("""COMPUTED_VALUE"""),"x")</f>
        <v>x</v>
      </c>
      <c r="L1007" s="20" t="str">
        <f>IFERROR(__xludf.DUMMYFUNCTION("""COMPUTED_VALUE"""),"x")</f>
        <v>x</v>
      </c>
      <c r="M1007" s="19" t="str">
        <f>IFERROR(__xludf.DUMMYFUNCTION("""COMPUTED_VALUE"""),"PCM_2")</f>
        <v>PCM_2</v>
      </c>
      <c r="N1007" s="19" t="str">
        <f>IFERROR(__xludf.DUMMYFUNCTION("""COMPUTED_VALUE"""),"PRIORIDAD 3 Q1 2024 MARZO")</f>
        <v>PRIORIDAD 3 Q1 2024 MARZO</v>
      </c>
    </row>
    <row r="1008" ht="15.75" customHeight="1">
      <c r="A1008" s="19" t="str">
        <f>IFERROR(__xludf.DUMMYFUNCTION("""COMPUTED_VALUE"""),"AB_11304")</f>
        <v>AB_11304</v>
      </c>
      <c r="B1008" s="19" t="str">
        <f>IFERROR(__xludf.DUMMYFUNCTION("""COMPUTED_VALUE"""),"AB_11304_D")</f>
        <v>AB_11304_D</v>
      </c>
      <c r="C1008" s="19" t="str">
        <f>IFERROR(__xludf.DUMMYFUNCTION("""COMPUTED_VALUE"""),"VA11304")</f>
        <v>VA11304</v>
      </c>
      <c r="D1008" s="19" t="str">
        <f>IFERROR(__xludf.DUMMYFUNCTION("""COMPUTED_VALUE"""),"Puente San Sebastian SUR")</f>
        <v>Puente San Sebastian SUR</v>
      </c>
      <c r="E1008" s="19" t="str">
        <f>IFERROR(__xludf.DUMMYFUNCTION("""COMPUTED_VALUE"""),"SITIO RFI")</f>
        <v>SITIO RFI</v>
      </c>
      <c r="F1008" s="19" t="str">
        <f>IFERROR(__xludf.DUMMYFUNCTION("""COMPUTED_VALUE"""),"RFI")</f>
        <v>RFI</v>
      </c>
      <c r="G1008" s="19" t="str">
        <f>IFERROR(__xludf.DUMMYFUNCTION("""COMPUTED_VALUE"""),"MP R40")</f>
        <v>MP R40</v>
      </c>
      <c r="H1008" s="19" t="str">
        <f>IFERROR(__xludf.DUMMYFUNCTION("""COMPUTED_VALUE"""),"MER")</f>
        <v>MER</v>
      </c>
      <c r="I1008" s="19" t="str">
        <f>IFERROR(__xludf.DUMMYFUNCTION("""COMPUTED_VALUE"""),"Entregada")</f>
        <v>Entregada</v>
      </c>
      <c r="J1008" s="20">
        <f>IFERROR(__xludf.DUMMYFUNCTION("""COMPUTED_VALUE"""),44729.0)</f>
        <v>44729</v>
      </c>
      <c r="K1008" s="19" t="str">
        <f>IFERROR(__xludf.DUMMYFUNCTION("""COMPUTED_VALUE"""),"Entregada")</f>
        <v>Entregada</v>
      </c>
      <c r="L1008" s="20">
        <f>IFERROR(__xludf.DUMMYFUNCTION("""COMPUTED_VALUE"""),44729.0)</f>
        <v>44729</v>
      </c>
      <c r="M1008" s="19" t="str">
        <f>IFERROR(__xludf.DUMMYFUNCTION("""COMPUTED_VALUE"""),"PCM_2")</f>
        <v>PCM_2</v>
      </c>
      <c r="N1008" s="19" t="str">
        <f>IFERROR(__xludf.DUMMYFUNCTION("""COMPUTED_VALUE"""),"PRIORIDAD 1 Q3 2023 OCTUBRE")</f>
        <v>PRIORIDAD 1 Q3 2023 OCTUBRE</v>
      </c>
    </row>
    <row r="1009" ht="15.75" customHeight="1">
      <c r="A1009" s="19" t="str">
        <f>IFERROR(__xludf.DUMMYFUNCTION("""COMPUTED_VALUE"""),"AB_11449")</f>
        <v>AB_11449</v>
      </c>
      <c r="B1009" s="19" t="str">
        <f>IFERROR(__xludf.DUMMYFUNCTION("""COMPUTED_VALUE"""),"AB_11449_A")</f>
        <v>AB_11449_A</v>
      </c>
      <c r="C1009" s="19" t="str">
        <f>IFERROR(__xludf.DUMMYFUNCTION("""COMPUTED_VALUE"""),"VA11449")</f>
        <v>VA11449</v>
      </c>
      <c r="D1009" s="19" t="str">
        <f>IFERROR(__xludf.DUMMYFUNCTION("""COMPUTED_VALUE"""),"Acceso Los Patos Putaendo")</f>
        <v>Acceso Los Patos Putaendo</v>
      </c>
      <c r="E1009" s="19" t="str">
        <f>IFERROR(__xludf.DUMMYFUNCTION("""COMPUTED_VALUE"""),"SITIO RFI")</f>
        <v>SITIO RFI</v>
      </c>
      <c r="F1009" s="19" t="str">
        <f>IFERROR(__xludf.DUMMYFUNCTION("""COMPUTED_VALUE"""),"RFI")</f>
        <v>RFI</v>
      </c>
      <c r="G1009" s="19" t="str">
        <f>IFERROR(__xludf.DUMMYFUNCTION("""COMPUTED_VALUE"""),"CV36")</f>
        <v>CV36</v>
      </c>
      <c r="H1009" s="19" t="str">
        <f>IFERROR(__xludf.DUMMYFUNCTION("""COMPUTED_VALUE"""),"AJ")</f>
        <v>AJ</v>
      </c>
      <c r="I1009" s="19" t="str">
        <f>IFERROR(__xludf.DUMMYFUNCTION("""COMPUTED_VALUE"""),"Entregada")</f>
        <v>Entregada</v>
      </c>
      <c r="J1009" s="20">
        <f>IFERROR(__xludf.DUMMYFUNCTION("""COMPUTED_VALUE"""),44697.0)</f>
        <v>44697</v>
      </c>
      <c r="K1009" s="19" t="str">
        <f>IFERROR(__xludf.DUMMYFUNCTION("""COMPUTED_VALUE"""),"Entregada")</f>
        <v>Entregada</v>
      </c>
      <c r="L1009" s="20">
        <f>IFERROR(__xludf.DUMMYFUNCTION("""COMPUTED_VALUE"""),44839.0)</f>
        <v>44839</v>
      </c>
      <c r="M1009" s="19" t="str">
        <f>IFERROR(__xludf.DUMMYFUNCTION("""COMPUTED_VALUE"""),"PCM_2")</f>
        <v>PCM_2</v>
      </c>
      <c r="N1009" s="19" t="str">
        <f>IFERROR(__xludf.DUMMYFUNCTION("""COMPUTED_VALUE"""),"PRIORIDAD 1 Q3 2023 OCTUBRE")</f>
        <v>PRIORIDAD 1 Q3 2023 OCTUBRE</v>
      </c>
    </row>
    <row r="1010" ht="15.75" customHeight="1">
      <c r="A1010" s="19" t="str">
        <f>IFERROR(__xludf.DUMMYFUNCTION("""COMPUTED_VALUE"""),"AB_11716")</f>
        <v>AB_11716</v>
      </c>
      <c r="B1010" s="19" t="str">
        <f>IFERROR(__xludf.DUMMYFUNCTION("""COMPUTED_VALUE"""),"AB_11716_A")</f>
        <v>AB_11716_A</v>
      </c>
      <c r="C1010" s="19" t="str">
        <f>IFERROR(__xludf.DUMMYFUNCTION("""COMPUTED_VALUE"""),"VA11716")</f>
        <v>VA11716</v>
      </c>
      <c r="D1010" s="19" t="str">
        <f>IFERROR(__xludf.DUMMYFUNCTION("""COMPUTED_VALUE"""),"Aeródromo Robinson Crusoe LL.OO.")</f>
        <v>Aeródromo Robinson Crusoe LL.OO.</v>
      </c>
      <c r="E1010" s="19" t="str">
        <f>IFERROR(__xludf.DUMMYFUNCTION("""COMPUTED_VALUE"""),"SITIO PENDIENTE")</f>
        <v>SITIO PENDIENTE</v>
      </c>
      <c r="F1010" s="19"/>
      <c r="G1010" s="19" t="str">
        <f>IFERROR(__xludf.DUMMYFUNCTION("""COMPUTED_VALUE"""),"x")</f>
        <v>x</v>
      </c>
      <c r="H1010" s="19" t="str">
        <f>IFERROR(__xludf.DUMMYFUNCTION("""COMPUTED_VALUE"""),"x")</f>
        <v>x</v>
      </c>
      <c r="I1010" s="19" t="str">
        <f>IFERROR(__xludf.DUMMYFUNCTION("""COMPUTED_VALUE"""),"x")</f>
        <v>x</v>
      </c>
      <c r="J1010" s="20" t="str">
        <f>IFERROR(__xludf.DUMMYFUNCTION("""COMPUTED_VALUE"""),"x")</f>
        <v>x</v>
      </c>
      <c r="K1010" s="19" t="str">
        <f>IFERROR(__xludf.DUMMYFUNCTION("""COMPUTED_VALUE"""),"x")</f>
        <v>x</v>
      </c>
      <c r="L1010" s="20" t="str">
        <f>IFERROR(__xludf.DUMMYFUNCTION("""COMPUTED_VALUE"""),"x")</f>
        <v>x</v>
      </c>
      <c r="M1010" s="19" t="str">
        <f>IFERROR(__xludf.DUMMYFUNCTION("""COMPUTED_VALUE"""),"LLOO_2")</f>
        <v>LLOO_2</v>
      </c>
      <c r="N1010" s="19" t="str">
        <f>IFERROR(__xludf.DUMMYFUNCTION("""COMPUTED_VALUE"""),"PRIORIDAD 3 Q1 2024 MARZO")</f>
        <v>PRIORIDAD 3 Q1 2024 MARZO</v>
      </c>
    </row>
    <row r="1011" ht="15.75" customHeight="1">
      <c r="A1011" s="19" t="str">
        <f>IFERROR(__xludf.DUMMYFUNCTION("""COMPUTED_VALUE"""),"AB_1456")</f>
        <v>AB_1456</v>
      </c>
      <c r="B1011" s="19" t="str">
        <f>IFERROR(__xludf.DUMMYFUNCTION("""COMPUTED_VALUE"""),"AB_1456_B")</f>
        <v>AB_1456_B</v>
      </c>
      <c r="C1011" s="19" t="str">
        <f>IFERROR(__xludf.DUMMYFUNCTION("""COMPUTED_VALUE"""),"VA1456")</f>
        <v>VA1456</v>
      </c>
      <c r="D1011" s="19" t="str">
        <f>IFERROR(__xludf.DUMMYFUNCTION("""COMPUTED_VALUE"""),"Hijuelas - El Retiro")</f>
        <v>Hijuelas - El Retiro</v>
      </c>
      <c r="E1011" s="19" t="str">
        <f>IFERROR(__xludf.DUMMYFUNCTION("""COMPUTED_VALUE"""),"SITIO PENDIENTE")</f>
        <v>SITIO PENDIENTE</v>
      </c>
      <c r="F1011" s="19"/>
      <c r="G1011" s="19" t="str">
        <f>IFERROR(__xludf.DUMMYFUNCTION("""COMPUTED_VALUE"""),"CV30")</f>
        <v>CV30</v>
      </c>
      <c r="H1011" s="19" t="str">
        <f>IFERROR(__xludf.DUMMYFUNCTION("""COMPUTED_VALUE"""),"")</f>
        <v/>
      </c>
      <c r="I1011" s="19" t="str">
        <f>IFERROR(__xludf.DUMMYFUNCTION("""COMPUTED_VALUE"""),"")</f>
        <v/>
      </c>
      <c r="J1011" s="20" t="str">
        <f>IFERROR(__xludf.DUMMYFUNCTION("""COMPUTED_VALUE"""),"")</f>
        <v/>
      </c>
      <c r="K1011" s="19" t="str">
        <f>IFERROR(__xludf.DUMMYFUNCTION("""COMPUTED_VALUE"""),"")</f>
        <v/>
      </c>
      <c r="L1011" s="20" t="str">
        <f>IFERROR(__xludf.DUMMYFUNCTION("""COMPUTED_VALUE"""),"")</f>
        <v/>
      </c>
      <c r="M1011" s="19" t="str">
        <f>IFERROR(__xludf.DUMMYFUNCTION("""COMPUTED_VALUE"""),"PCM")</f>
        <v>PCM</v>
      </c>
      <c r="N1011" s="19" t="str">
        <f>IFERROR(__xludf.DUMMYFUNCTION("""COMPUTED_VALUE"""),"PRIORIDAD 3 Q1 2024 MARZO")</f>
        <v>PRIORIDAD 3 Q1 2024 MARZO</v>
      </c>
    </row>
    <row r="1012" ht="15.75" customHeight="1">
      <c r="A1012" s="19" t="str">
        <f>IFERROR(__xludf.DUMMYFUNCTION("""COMPUTED_VALUE"""),"AB_1460")</f>
        <v>AB_1460</v>
      </c>
      <c r="B1012" s="19" t="str">
        <f>IFERROR(__xludf.DUMMYFUNCTION("""COMPUTED_VALUE"""),"AB_1460_Z")</f>
        <v>AB_1460_Z</v>
      </c>
      <c r="C1012" s="19" t="str">
        <f>IFERROR(__xludf.DUMMYFUNCTION("""COMPUTED_VALUE"""),"VA1460")</f>
        <v>VA1460</v>
      </c>
      <c r="D1012" s="19" t="str">
        <f>IFERROR(__xludf.DUMMYFUNCTION("""COMPUTED_VALUE"""),"Rinconada")</f>
        <v>Rinconada</v>
      </c>
      <c r="E1012" s="19" t="str">
        <f>IFERROR(__xludf.DUMMYFUNCTION("""COMPUTED_VALUE"""),"SITIO RFI")</f>
        <v>SITIO RFI</v>
      </c>
      <c r="F1012" s="19" t="str">
        <f>IFERROR(__xludf.DUMMYFUNCTION("""COMPUTED_VALUE"""),"RFI")</f>
        <v>RFI</v>
      </c>
      <c r="G1012" s="19" t="str">
        <f>IFERROR(__xludf.DUMMYFUNCTION("""COMPUTED_VALUE"""),"CV60")</f>
        <v>CV60</v>
      </c>
      <c r="H1012" s="19" t="str">
        <f>IFERROR(__xludf.DUMMYFUNCTION("""COMPUTED_VALUE"""),"DEPROMET")</f>
        <v>DEPROMET</v>
      </c>
      <c r="I1012" s="19" t="str">
        <f>IFERROR(__xludf.DUMMYFUNCTION("""COMPUTED_VALUE"""),"Entregada")</f>
        <v>Entregada</v>
      </c>
      <c r="J1012" s="20">
        <f>IFERROR(__xludf.DUMMYFUNCTION("""COMPUTED_VALUE"""),44708.0)</f>
        <v>44708</v>
      </c>
      <c r="K1012" s="19" t="str">
        <f>IFERROR(__xludf.DUMMYFUNCTION("""COMPUTED_VALUE"""),"Entregada")</f>
        <v>Entregada</v>
      </c>
      <c r="L1012" s="20">
        <f>IFERROR(__xludf.DUMMYFUNCTION("""COMPUTED_VALUE"""),44771.0)</f>
        <v>44771</v>
      </c>
      <c r="M1012" s="19" t="str">
        <f>IFERROR(__xludf.DUMMYFUNCTION("""COMPUTED_VALUE"""),"PCM")</f>
        <v>PCM</v>
      </c>
      <c r="N1012" s="19" t="str">
        <f>IFERROR(__xludf.DUMMYFUNCTION("""COMPUTED_VALUE"""),"PRIORIDAD 1 Q3 2023 OCTUBRE")</f>
        <v>PRIORIDAD 1 Q3 2023 OCTUBRE</v>
      </c>
    </row>
    <row r="1013" ht="15.75" customHeight="1">
      <c r="A1013" s="19" t="str">
        <f>IFERROR(__xludf.DUMMYFUNCTION("""COMPUTED_VALUE"""),"AB_1726")</f>
        <v>AB_1726</v>
      </c>
      <c r="B1013" s="19" t="str">
        <f>IFERROR(__xludf.DUMMYFUNCTION("""COMPUTED_VALUE"""),"AB_1726_I")</f>
        <v>AB_1726_I</v>
      </c>
      <c r="C1013" s="19" t="str">
        <f>IFERROR(__xludf.DUMMYFUNCTION("""COMPUTED_VALUE"""),"VA1726")</f>
        <v>VA1726</v>
      </c>
      <c r="D1013" s="19" t="str">
        <f>IFERROR(__xludf.DUMMYFUNCTION("""COMPUTED_VALUE"""),"Chincolco")</f>
        <v>Chincolco</v>
      </c>
      <c r="E1013" s="19" t="str">
        <f>IFERROR(__xludf.DUMMYFUNCTION("""COMPUTED_VALUE"""),"SITIO RFI")</f>
        <v>SITIO RFI</v>
      </c>
      <c r="F1013" s="19" t="str">
        <f>IFERROR(__xludf.DUMMYFUNCTION("""COMPUTED_VALUE"""),"RFI")</f>
        <v>RFI</v>
      </c>
      <c r="G1013" s="19" t="str">
        <f>IFERROR(__xludf.DUMMYFUNCTION("""COMPUTED_VALUE"""),"CV60")</f>
        <v>CV60</v>
      </c>
      <c r="H1013" s="19" t="str">
        <f>IFERROR(__xludf.DUMMYFUNCTION("""COMPUTED_VALUE"""),"MER")</f>
        <v>MER</v>
      </c>
      <c r="I1013" s="19" t="str">
        <f>IFERROR(__xludf.DUMMYFUNCTION("""COMPUTED_VALUE"""),"Entregada")</f>
        <v>Entregada</v>
      </c>
      <c r="J1013" s="20">
        <f>IFERROR(__xludf.DUMMYFUNCTION("""COMPUTED_VALUE"""),44652.0)</f>
        <v>44652</v>
      </c>
      <c r="K1013" s="19" t="str">
        <f>IFERROR(__xludf.DUMMYFUNCTION("""COMPUTED_VALUE"""),"Entregada")</f>
        <v>Entregada</v>
      </c>
      <c r="L1013" s="20">
        <f>IFERROR(__xludf.DUMMYFUNCTION("""COMPUTED_VALUE"""),44678.0)</f>
        <v>44678</v>
      </c>
      <c r="M1013" s="19" t="str">
        <f>IFERROR(__xludf.DUMMYFUNCTION("""COMPUTED_VALUE"""),"PCM")</f>
        <v>PCM</v>
      </c>
      <c r="N1013" s="19" t="str">
        <f>IFERROR(__xludf.DUMMYFUNCTION("""COMPUTED_VALUE"""),"PRIORIDAD 1 Q3 2023 OCTUBRE")</f>
        <v>PRIORIDAD 1 Q3 2023 OCTUBRE</v>
      </c>
    </row>
    <row r="1014" ht="15.75" customHeight="1">
      <c r="A1014" s="19" t="str">
        <f>IFERROR(__xludf.DUMMYFUNCTION("""COMPUTED_VALUE"""),"AB_1740")</f>
        <v>AB_1740</v>
      </c>
      <c r="B1014" s="19" t="str">
        <f>IFERROR(__xludf.DUMMYFUNCTION("""COMPUTED_VALUE"""),"AB_1740_B")</f>
        <v>AB_1740_B</v>
      </c>
      <c r="C1014" s="19" t="str">
        <f>IFERROR(__xludf.DUMMYFUNCTION("""COMPUTED_VALUE"""),"VA1740")</f>
        <v>VA1740</v>
      </c>
      <c r="D1014" s="19" t="str">
        <f>IFERROR(__xludf.DUMMYFUNCTION("""COMPUTED_VALUE"""),"Tunel Chacabuco")</f>
        <v>Tunel Chacabuco</v>
      </c>
      <c r="E1014" s="19" t="str">
        <f>IFERROR(__xludf.DUMMYFUNCTION("""COMPUTED_VALUE"""),"SITIO RFI")</f>
        <v>SITIO RFI</v>
      </c>
      <c r="F1014" s="19" t="str">
        <f>IFERROR(__xludf.DUMMYFUNCTION("""COMPUTED_VALUE"""),"RFI")</f>
        <v>RFI</v>
      </c>
      <c r="G1014" s="19" t="str">
        <f>IFERROR(__xludf.DUMMYFUNCTION("""COMPUTED_VALUE"""),"AS48")</f>
        <v>AS48</v>
      </c>
      <c r="H1014" s="19" t="str">
        <f>IFERROR(__xludf.DUMMYFUNCTION("""COMPUTED_VALUE"""),"ADM")</f>
        <v>ADM</v>
      </c>
      <c r="I1014" s="19" t="str">
        <f>IFERROR(__xludf.DUMMYFUNCTION("""COMPUTED_VALUE"""),"Entregada")</f>
        <v>Entregada</v>
      </c>
      <c r="J1014" s="20">
        <f>IFERROR(__xludf.DUMMYFUNCTION("""COMPUTED_VALUE"""),44750.0)</f>
        <v>44750</v>
      </c>
      <c r="K1014" s="19" t="str">
        <f>IFERROR(__xludf.DUMMYFUNCTION("""COMPUTED_VALUE"""),"Entregada")</f>
        <v>Entregada</v>
      </c>
      <c r="L1014" s="20">
        <f>IFERROR(__xludf.DUMMYFUNCTION("""COMPUTED_VALUE"""),44785.0)</f>
        <v>44785</v>
      </c>
      <c r="M1014" s="19" t="str">
        <f>IFERROR(__xludf.DUMMYFUNCTION("""COMPUTED_VALUE"""),"PCM")</f>
        <v>PCM</v>
      </c>
      <c r="N1014" s="19" t="str">
        <f>IFERROR(__xludf.DUMMYFUNCTION("""COMPUTED_VALUE"""),"PRIORIDAD 1 Q3 2023 OCTUBRE")</f>
        <v>PRIORIDAD 1 Q3 2023 OCTUBRE</v>
      </c>
    </row>
    <row r="1015" ht="15.75" customHeight="1">
      <c r="A1015" s="19" t="str">
        <f>IFERROR(__xludf.DUMMYFUNCTION("""COMPUTED_VALUE"""),"AB_1770")</f>
        <v>AB_1770</v>
      </c>
      <c r="B1015" s="19" t="str">
        <f>IFERROR(__xludf.DUMMYFUNCTION("""COMPUTED_VALUE"""),"AB_1770_G")</f>
        <v>AB_1770_G</v>
      </c>
      <c r="C1015" s="19" t="str">
        <f>IFERROR(__xludf.DUMMYFUNCTION("""COMPUTED_VALUE"""),"VA1770")</f>
        <v>VA1770</v>
      </c>
      <c r="D1015" s="19" t="str">
        <f>IFERROR(__xludf.DUMMYFUNCTION("""COMPUTED_VALUE"""),"Rinconada de Guzman")</f>
        <v>Rinconada de Guzman</v>
      </c>
      <c r="E1015" s="19" t="str">
        <f>IFERROR(__xludf.DUMMYFUNCTION("""COMPUTED_VALUE"""),"SITIO RFI")</f>
        <v>SITIO RFI</v>
      </c>
      <c r="F1015" s="19" t="str">
        <f>IFERROR(__xludf.DUMMYFUNCTION("""COMPUTED_VALUE"""),"RFI")</f>
        <v>RFI</v>
      </c>
      <c r="G1015" s="19" t="str">
        <f>IFERROR(__xludf.DUMMYFUNCTION("""COMPUTED_VALUE"""),"AS48")</f>
        <v>AS48</v>
      </c>
      <c r="H1015" s="19" t="str">
        <f>IFERROR(__xludf.DUMMYFUNCTION("""COMPUTED_VALUE"""),"ADM")</f>
        <v>ADM</v>
      </c>
      <c r="I1015" s="19" t="str">
        <f>IFERROR(__xludf.DUMMYFUNCTION("""COMPUTED_VALUE"""),"Entregada")</f>
        <v>Entregada</v>
      </c>
      <c r="J1015" s="20">
        <f>IFERROR(__xludf.DUMMYFUNCTION("""COMPUTED_VALUE"""),44750.0)</f>
        <v>44750</v>
      </c>
      <c r="K1015" s="19" t="str">
        <f>IFERROR(__xludf.DUMMYFUNCTION("""COMPUTED_VALUE"""),"Entregada")</f>
        <v>Entregada</v>
      </c>
      <c r="L1015" s="20">
        <f>IFERROR(__xludf.DUMMYFUNCTION("""COMPUTED_VALUE"""),44785.0)</f>
        <v>44785</v>
      </c>
      <c r="M1015" s="19" t="str">
        <f>IFERROR(__xludf.DUMMYFUNCTION("""COMPUTED_VALUE"""),"PCM")</f>
        <v>PCM</v>
      </c>
      <c r="N1015" s="19" t="str">
        <f>IFERROR(__xludf.DUMMYFUNCTION("""COMPUTED_VALUE"""),"PRIORIDAD 1 Q3 2023 OCTUBRE")</f>
        <v>PRIORIDAD 1 Q3 2023 OCTUBRE</v>
      </c>
    </row>
    <row r="1016" ht="15.75" customHeight="1">
      <c r="A1016" s="19" t="str">
        <f>IFERROR(__xludf.DUMMYFUNCTION("""COMPUTED_VALUE"""),"AB_2167")</f>
        <v>AB_2167</v>
      </c>
      <c r="B1016" s="19" t="str">
        <f>IFERROR(__xludf.DUMMYFUNCTION("""COMPUTED_VALUE"""),"AB_2167_B")</f>
        <v>AB_2167_B</v>
      </c>
      <c r="C1016" s="19" t="str">
        <f>IFERROR(__xludf.DUMMYFUNCTION("""COMPUTED_VALUE"""),"VA2167")</f>
        <v>VA2167</v>
      </c>
      <c r="D1016" s="19" t="str">
        <f>IFERROR(__xludf.DUMMYFUNCTION("""COMPUTED_VALUE"""),"Los Andes Repetidor")</f>
        <v>Los Andes Repetidor</v>
      </c>
      <c r="E1016" s="19" t="str">
        <f>IFERROR(__xludf.DUMMYFUNCTION("""COMPUTED_VALUE"""),"SITIO RFI")</f>
        <v>SITIO RFI</v>
      </c>
      <c r="F1016" s="19" t="str">
        <f>IFERROR(__xludf.DUMMYFUNCTION("""COMPUTED_VALUE"""),"RFI")</f>
        <v>RFI</v>
      </c>
      <c r="G1016" s="19" t="str">
        <f>IFERROR(__xludf.DUMMYFUNCTION("""COMPUTED_VALUE"""),"CV30")</f>
        <v>CV30</v>
      </c>
      <c r="H1016" s="19" t="str">
        <f>IFERROR(__xludf.DUMMYFUNCTION("""COMPUTED_VALUE"""),"SYC")</f>
        <v>SYC</v>
      </c>
      <c r="I1016" s="19" t="str">
        <f>IFERROR(__xludf.DUMMYFUNCTION("""COMPUTED_VALUE"""),"Entregada")</f>
        <v>Entregada</v>
      </c>
      <c r="J1016" s="20">
        <f>IFERROR(__xludf.DUMMYFUNCTION("""COMPUTED_VALUE"""),44687.0)</f>
        <v>44687</v>
      </c>
      <c r="K1016" s="19" t="str">
        <f>IFERROR(__xludf.DUMMYFUNCTION("""COMPUTED_VALUE"""),"Entregada")</f>
        <v>Entregada</v>
      </c>
      <c r="L1016" s="20">
        <f>IFERROR(__xludf.DUMMYFUNCTION("""COMPUTED_VALUE"""),44743.0)</f>
        <v>44743</v>
      </c>
      <c r="M1016" s="19" t="str">
        <f>IFERROR(__xludf.DUMMYFUNCTION("""COMPUTED_VALUE"""),"PCM")</f>
        <v>PCM</v>
      </c>
      <c r="N1016" s="19" t="str">
        <f>IFERROR(__xludf.DUMMYFUNCTION("""COMPUTED_VALUE"""),"PRIORIDAD 1 Q3 2023 OCTUBRE")</f>
        <v>PRIORIDAD 1 Q3 2023 OCTUBRE</v>
      </c>
    </row>
    <row r="1017" ht="15.75" customHeight="1">
      <c r="A1017" s="19" t="str">
        <f>IFERROR(__xludf.DUMMYFUNCTION("""COMPUTED_VALUE"""),"AB_9780")</f>
        <v>AB_9780</v>
      </c>
      <c r="B1017" s="19" t="str">
        <f>IFERROR(__xludf.DUMMYFUNCTION("""COMPUTED_VALUE"""),"AB_9780_C")</f>
        <v>AB_9780_C</v>
      </c>
      <c r="C1017" s="19" t="str">
        <f>IFERROR(__xludf.DUMMYFUNCTION("""COMPUTED_VALUE"""),"OH9780")</f>
        <v>OH9780</v>
      </c>
      <c r="D1017" s="19" t="str">
        <f>IFERROR(__xludf.DUMMYFUNCTION("""COMPUTED_VALUE"""),"Tierra Chilena")</f>
        <v>Tierra Chilena</v>
      </c>
      <c r="E1017" s="19" t="str">
        <f>IFERROR(__xludf.DUMMYFUNCTION("""COMPUTED_VALUE"""),"SITIO CONSTRUIDO")</f>
        <v>SITIO CONSTRUIDO</v>
      </c>
      <c r="F1017" s="19" t="str">
        <f>IFERROR(__xludf.DUMMYFUNCTION("""COMPUTED_VALUE"""),"HORMIGONADO")</f>
        <v>HORMIGONADO</v>
      </c>
      <c r="G1017" s="19" t="str">
        <f>IFERROR(__xludf.DUMMYFUNCTION("""COMPUTED_VALUE"""),"AS48")</f>
        <v>AS48</v>
      </c>
      <c r="H1017" s="19" t="str">
        <f>IFERROR(__xludf.DUMMYFUNCTION("""COMPUTED_VALUE"""),"ADM")</f>
        <v>ADM</v>
      </c>
      <c r="I1017" s="19" t="str">
        <f>IFERROR(__xludf.DUMMYFUNCTION("""COMPUTED_VALUE"""),"Terminada")</f>
        <v>Terminada</v>
      </c>
      <c r="J1017" s="20">
        <f>IFERROR(__xludf.DUMMYFUNCTION("""COMPUTED_VALUE"""),44750.0)</f>
        <v>44750</v>
      </c>
      <c r="K1017" s="19" t="str">
        <f>IFERROR(__xludf.DUMMYFUNCTION("""COMPUTED_VALUE"""),"En fabricacion")</f>
        <v>En fabricacion</v>
      </c>
      <c r="L1017" s="20">
        <f>IFERROR(__xludf.DUMMYFUNCTION("""COMPUTED_VALUE"""),44785.0)</f>
        <v>44785</v>
      </c>
      <c r="M1017" s="19" t="str">
        <f>IFERROR(__xludf.DUMMYFUNCTION("""COMPUTED_VALUE"""),"LLOO")</f>
        <v>LLOO</v>
      </c>
      <c r="N1017" s="19" t="str">
        <f>IFERROR(__xludf.DUMMYFUNCTION("""COMPUTED_VALUE"""),"PRIORIDAD 1 Q3 2023 OCTUBRE")</f>
        <v>PRIORIDAD 1 Q3 2023 OCTUBRE</v>
      </c>
    </row>
    <row r="1018" ht="15.75" customHeight="1">
      <c r="A1018" s="19" t="str">
        <f>IFERROR(__xludf.DUMMYFUNCTION("""COMPUTED_VALUE"""),"AB_2443")</f>
        <v>AB_2443</v>
      </c>
      <c r="B1018" s="19" t="str">
        <f>IFERROR(__xludf.DUMMYFUNCTION("""COMPUTED_VALUE"""),"AB_2443_F")</f>
        <v>AB_2443_F</v>
      </c>
      <c r="C1018" s="19" t="str">
        <f>IFERROR(__xludf.DUMMYFUNCTION("""COMPUTED_VALUE"""),"VA2443")</f>
        <v>VA2443</v>
      </c>
      <c r="D1018" s="19" t="str">
        <f>IFERROR(__xludf.DUMMYFUNCTION("""COMPUTED_VALUE"""),"Hanga Roa")</f>
        <v>Hanga Roa</v>
      </c>
      <c r="E1018" s="19" t="str">
        <f>IFERROR(__xludf.DUMMYFUNCTION("""COMPUTED_VALUE"""),"SITIO FIRMADO")</f>
        <v>SITIO FIRMADO</v>
      </c>
      <c r="F1018" s="19"/>
      <c r="G1018" s="19" t="str">
        <f>IFERROR(__xludf.DUMMYFUNCTION("""COMPUTED_VALUE"""),"MP R30")</f>
        <v>MP R30</v>
      </c>
      <c r="H1018" s="19" t="str">
        <f>IFERROR(__xludf.DUMMYFUNCTION("""COMPUTED_VALUE"""),"INICIATIVA")</f>
        <v>INICIATIVA</v>
      </c>
      <c r="I1018" s="19" t="str">
        <f>IFERROR(__xludf.DUMMYFUNCTION("""COMPUTED_VALUE"""),"Asignada")</f>
        <v>Asignada</v>
      </c>
      <c r="J1018" s="20">
        <f>IFERROR(__xludf.DUMMYFUNCTION("""COMPUTED_VALUE"""),45072.0)</f>
        <v>45072</v>
      </c>
      <c r="K1018" s="19" t="str">
        <f>IFERROR(__xludf.DUMMYFUNCTION("""COMPUTED_VALUE"""),"Asignada")</f>
        <v>Asignada</v>
      </c>
      <c r="L1018" s="20">
        <f>IFERROR(__xludf.DUMMYFUNCTION("""COMPUTED_VALUE"""),45100.0)</f>
        <v>45100</v>
      </c>
      <c r="M1018" s="19" t="str">
        <f>IFERROR(__xludf.DUMMYFUNCTION("""COMPUTED_VALUE"""),"PCM")</f>
        <v>PCM</v>
      </c>
      <c r="N1018" s="19" t="str">
        <f>IFERROR(__xludf.DUMMYFUNCTION("""COMPUTED_VALUE"""),"PRIORIDAD 3 Q1 2024 MARZO")</f>
        <v>PRIORIDAD 3 Q1 2024 MARZO</v>
      </c>
    </row>
    <row r="1019" ht="15.75" customHeight="1">
      <c r="A1019" s="19" t="str">
        <f>IFERROR(__xludf.DUMMYFUNCTION("""COMPUTED_VALUE"""),"AB_2619")</f>
        <v>AB_2619</v>
      </c>
      <c r="B1019" s="19" t="str">
        <f>IFERROR(__xludf.DUMMYFUNCTION("""COMPUTED_VALUE"""),"AB_2619_F")</f>
        <v>AB_2619_F</v>
      </c>
      <c r="C1019" s="19" t="str">
        <f>IFERROR(__xludf.DUMMYFUNCTION("""COMPUTED_VALUE"""),"VA2619")</f>
        <v>VA2619</v>
      </c>
      <c r="D1019" s="19" t="str">
        <f>IFERROR(__xludf.DUMMYFUNCTION("""COMPUTED_VALUE"""),"Cerro Piedra Tajada")</f>
        <v>Cerro Piedra Tajada</v>
      </c>
      <c r="E1019" s="19" t="str">
        <f>IFERROR(__xludf.DUMMYFUNCTION("""COMPUTED_VALUE"""),"SITIO RFI")</f>
        <v>SITIO RFI</v>
      </c>
      <c r="F1019" s="19" t="str">
        <f>IFERROR(__xludf.DUMMYFUNCTION("""COMPUTED_VALUE"""),"RFI")</f>
        <v>RFI</v>
      </c>
      <c r="G1019" s="19" t="str">
        <f>IFERROR(__xludf.DUMMYFUNCTION("""COMPUTED_VALUE"""),"AS48")</f>
        <v>AS48</v>
      </c>
      <c r="H1019" s="19" t="str">
        <f>IFERROR(__xludf.DUMMYFUNCTION("""COMPUTED_VALUE"""),"MER")</f>
        <v>MER</v>
      </c>
      <c r="I1019" s="19" t="str">
        <f>IFERROR(__xludf.DUMMYFUNCTION("""COMPUTED_VALUE"""),"Entregada")</f>
        <v>Entregada</v>
      </c>
      <c r="J1019" s="20">
        <f>IFERROR(__xludf.DUMMYFUNCTION("""COMPUTED_VALUE"""),44722.0)</f>
        <v>44722</v>
      </c>
      <c r="K1019" s="19" t="str">
        <f>IFERROR(__xludf.DUMMYFUNCTION("""COMPUTED_VALUE"""),"Entregada")</f>
        <v>Entregada</v>
      </c>
      <c r="L1019" s="20">
        <f>IFERROR(__xludf.DUMMYFUNCTION("""COMPUTED_VALUE"""),44762.0)</f>
        <v>44762</v>
      </c>
      <c r="M1019" s="19" t="str">
        <f>IFERROR(__xludf.DUMMYFUNCTION("""COMPUTED_VALUE"""),"PCM_3")</f>
        <v>PCM_3</v>
      </c>
      <c r="N1019" s="19" t="str">
        <f>IFERROR(__xludf.DUMMYFUNCTION("""COMPUTED_VALUE"""),"PRIORIDAD 3 Q1 2024 MARZO")</f>
        <v>PRIORIDAD 3 Q1 2024 MARZO</v>
      </c>
    </row>
    <row r="1020" ht="15.75" customHeight="1">
      <c r="A1020" s="19" t="str">
        <f>IFERROR(__xludf.DUMMYFUNCTION("""COMPUTED_VALUE"""),"AB_3066")</f>
        <v>AB_3066</v>
      </c>
      <c r="B1020" s="19" t="str">
        <f>IFERROR(__xludf.DUMMYFUNCTION("""COMPUTED_VALUE"""),"AB_3066_K")</f>
        <v>AB_3066_K</v>
      </c>
      <c r="C1020" s="19" t="str">
        <f>IFERROR(__xludf.DUMMYFUNCTION("""COMPUTED_VALUE"""),"VA3066")</f>
        <v>VA3066</v>
      </c>
      <c r="D1020" s="19" t="str">
        <f>IFERROR(__xludf.DUMMYFUNCTION("""COMPUTED_VALUE"""),"Las Higueras")</f>
        <v>Las Higueras</v>
      </c>
      <c r="E1020" s="19" t="str">
        <f>IFERROR(__xludf.DUMMYFUNCTION("""COMPUTED_VALUE"""),"SITIO RFI")</f>
        <v>SITIO RFI</v>
      </c>
      <c r="F1020" s="19" t="str">
        <f>IFERROR(__xludf.DUMMYFUNCTION("""COMPUTED_VALUE"""),"RFI")</f>
        <v>RFI</v>
      </c>
      <c r="G1020" s="19" t="str">
        <f>IFERROR(__xludf.DUMMYFUNCTION("""COMPUTED_VALUE"""),"MP30")</f>
        <v>MP30</v>
      </c>
      <c r="H1020" s="19" t="str">
        <f>IFERROR(__xludf.DUMMYFUNCTION("""COMPUTED_VALUE"""),"MER")</f>
        <v>MER</v>
      </c>
      <c r="I1020" s="19" t="str">
        <f>IFERROR(__xludf.DUMMYFUNCTION("""COMPUTED_VALUE"""),"Entregada")</f>
        <v>Entregada</v>
      </c>
      <c r="J1020" s="20">
        <f>IFERROR(__xludf.DUMMYFUNCTION("""COMPUTED_VALUE"""),44729.0)</f>
        <v>44729</v>
      </c>
      <c r="K1020" s="19" t="str">
        <f>IFERROR(__xludf.DUMMYFUNCTION("""COMPUTED_VALUE"""),"Entregada")</f>
        <v>Entregada</v>
      </c>
      <c r="L1020" s="20">
        <f>IFERROR(__xludf.DUMMYFUNCTION("""COMPUTED_VALUE"""),44736.0)</f>
        <v>44736</v>
      </c>
      <c r="M1020" s="19" t="str">
        <f>IFERROR(__xludf.DUMMYFUNCTION("""COMPUTED_VALUE"""),"PCM")</f>
        <v>PCM</v>
      </c>
      <c r="N1020" s="19" t="str">
        <f>IFERROR(__xludf.DUMMYFUNCTION("""COMPUTED_VALUE"""),"PRIORIDAD 1 Q3 2023 OCTUBRE")</f>
        <v>PRIORIDAD 1 Q3 2023 OCTUBRE</v>
      </c>
    </row>
    <row r="1021" ht="15.75" customHeight="1">
      <c r="A1021" s="19" t="str">
        <f>IFERROR(__xludf.DUMMYFUNCTION("""COMPUTED_VALUE"""),"AB_3161")</f>
        <v>AB_3161</v>
      </c>
      <c r="B1021" s="19" t="str">
        <f>IFERROR(__xludf.DUMMYFUNCTION("""COMPUTED_VALUE"""),"AB_3161_F")</f>
        <v>AB_3161_F</v>
      </c>
      <c r="C1021" s="19" t="str">
        <f>IFERROR(__xludf.DUMMYFUNCTION("""COMPUTED_VALUE"""),"VA3161")</f>
        <v>VA3161</v>
      </c>
      <c r="D1021" s="19" t="str">
        <f>IFERROR(__xludf.DUMMYFUNCTION("""COMPUTED_VALUE"""),"Ruta 950 Poniente")</f>
        <v>Ruta 950 Poniente</v>
      </c>
      <c r="E1021" s="19" t="str">
        <f>IFERROR(__xludf.DUMMYFUNCTION("""COMPUTED_VALUE"""),"SITIO RFI")</f>
        <v>SITIO RFI</v>
      </c>
      <c r="F1021" s="19" t="str">
        <f>IFERROR(__xludf.DUMMYFUNCTION("""COMPUTED_VALUE"""),"RFI")</f>
        <v>RFI</v>
      </c>
      <c r="G1021" s="19" t="str">
        <f>IFERROR(__xludf.DUMMYFUNCTION("""COMPUTED_VALUE"""),"MP R40")</f>
        <v>MP R40</v>
      </c>
      <c r="H1021" s="19" t="str">
        <f>IFERROR(__xludf.DUMMYFUNCTION("""COMPUTED_VALUE"""),"MER")</f>
        <v>MER</v>
      </c>
      <c r="I1021" s="19" t="str">
        <f>IFERROR(__xludf.DUMMYFUNCTION("""COMPUTED_VALUE"""),"Entregada")</f>
        <v>Entregada</v>
      </c>
      <c r="J1021" s="20">
        <f>IFERROR(__xludf.DUMMYFUNCTION("""COMPUTED_VALUE"""),44729.0)</f>
        <v>44729</v>
      </c>
      <c r="K1021" s="19" t="str">
        <f>IFERROR(__xludf.DUMMYFUNCTION("""COMPUTED_VALUE"""),"Entregada")</f>
        <v>Entregada</v>
      </c>
      <c r="L1021" s="20">
        <f>IFERROR(__xludf.DUMMYFUNCTION("""COMPUTED_VALUE"""),44743.0)</f>
        <v>44743</v>
      </c>
      <c r="M1021" s="19" t="str">
        <f>IFERROR(__xludf.DUMMYFUNCTION("""COMPUTED_VALUE"""),"PCM")</f>
        <v>PCM</v>
      </c>
      <c r="N1021" s="19" t="str">
        <f>IFERROR(__xludf.DUMMYFUNCTION("""COMPUTED_VALUE"""),"PRIORIDAD 1 Q3 2023 OCTUBRE")</f>
        <v>PRIORIDAD 1 Q3 2023 OCTUBRE</v>
      </c>
    </row>
    <row r="1022" ht="15.75" customHeight="1">
      <c r="A1022" s="19" t="str">
        <f>IFERROR(__xludf.DUMMYFUNCTION("""COMPUTED_VALUE"""),"AB_3799")</f>
        <v>AB_3799</v>
      </c>
      <c r="B1022" s="19" t="str">
        <f>IFERROR(__xludf.DUMMYFUNCTION("""COMPUTED_VALUE"""),"AB_3799_D")</f>
        <v>AB_3799_D</v>
      </c>
      <c r="C1022" s="19" t="str">
        <f>IFERROR(__xludf.DUMMYFUNCTION("""COMPUTED_VALUE"""),"VA3799")</f>
        <v>VA3799</v>
      </c>
      <c r="D1022" s="19" t="str">
        <f>IFERROR(__xludf.DUMMYFUNCTION("""COMPUTED_VALUE"""),"Santa Maria Cruce")</f>
        <v>Santa Maria Cruce</v>
      </c>
      <c r="E1022" s="19" t="str">
        <f>IFERROR(__xludf.DUMMYFUNCTION("""COMPUTED_VALUE"""),"SITIO RFI")</f>
        <v>SITIO RFI</v>
      </c>
      <c r="F1022" s="19" t="str">
        <f>IFERROR(__xludf.DUMMYFUNCTION("""COMPUTED_VALUE"""),"RFI")</f>
        <v>RFI</v>
      </c>
      <c r="G1022" s="19" t="str">
        <f>IFERROR(__xludf.DUMMYFUNCTION("""COMPUTED_VALUE"""),"AS48")</f>
        <v>AS48</v>
      </c>
      <c r="H1022" s="19" t="str">
        <f>IFERROR(__xludf.DUMMYFUNCTION("""COMPUTED_VALUE"""),"MER")</f>
        <v>MER</v>
      </c>
      <c r="I1022" s="19" t="str">
        <f>IFERROR(__xludf.DUMMYFUNCTION("""COMPUTED_VALUE"""),"Entregada")</f>
        <v>Entregada</v>
      </c>
      <c r="J1022" s="20">
        <f>IFERROR(__xludf.DUMMYFUNCTION("""COMPUTED_VALUE"""),44666.0)</f>
        <v>44666</v>
      </c>
      <c r="K1022" s="19" t="str">
        <f>IFERROR(__xludf.DUMMYFUNCTION("""COMPUTED_VALUE"""),"Entregada")</f>
        <v>Entregada</v>
      </c>
      <c r="L1022" s="20">
        <f>IFERROR(__xludf.DUMMYFUNCTION("""COMPUTED_VALUE"""),44691.0)</f>
        <v>44691</v>
      </c>
      <c r="M1022" s="19" t="str">
        <f>IFERROR(__xludf.DUMMYFUNCTION("""COMPUTED_VALUE"""),"PCM")</f>
        <v>PCM</v>
      </c>
      <c r="N1022" s="19" t="str">
        <f>IFERROR(__xludf.DUMMYFUNCTION("""COMPUTED_VALUE"""),"PRIORIDAD 1 Q3 2023 OCTUBRE")</f>
        <v>PRIORIDAD 1 Q3 2023 OCTUBRE</v>
      </c>
    </row>
    <row r="1023" ht="15.75" customHeight="1">
      <c r="A1023" s="19" t="str">
        <f>IFERROR(__xludf.DUMMYFUNCTION("""COMPUTED_VALUE"""),"AB_3800")</f>
        <v>AB_3800</v>
      </c>
      <c r="B1023" s="19" t="str">
        <f>IFERROR(__xludf.DUMMYFUNCTION("""COMPUTED_VALUE"""),"AB_3800_D")</f>
        <v>AB_3800_D</v>
      </c>
      <c r="C1023" s="19" t="str">
        <f>IFERROR(__xludf.DUMMYFUNCTION("""COMPUTED_VALUE"""),"VA3800")</f>
        <v>VA3800</v>
      </c>
      <c r="D1023" s="19" t="str">
        <f>IFERROR(__xludf.DUMMYFUNCTION("""COMPUTED_VALUE"""),"Santa Maria Reubicacion")</f>
        <v>Santa Maria Reubicacion</v>
      </c>
      <c r="E1023" s="19" t="str">
        <f>IFERROR(__xludf.DUMMYFUNCTION("""COMPUTED_VALUE"""),"SITIO RFI")</f>
        <v>SITIO RFI</v>
      </c>
      <c r="F1023" s="19" t="str">
        <f>IFERROR(__xludf.DUMMYFUNCTION("""COMPUTED_VALUE"""),"RFI")</f>
        <v>RFI</v>
      </c>
      <c r="G1023" s="19" t="str">
        <f>IFERROR(__xludf.DUMMYFUNCTION("""COMPUTED_VALUE"""),"AS48")</f>
        <v>AS48</v>
      </c>
      <c r="H1023" s="19" t="str">
        <f>IFERROR(__xludf.DUMMYFUNCTION("""COMPUTED_VALUE"""),"MER")</f>
        <v>MER</v>
      </c>
      <c r="I1023" s="19" t="str">
        <f>IFERROR(__xludf.DUMMYFUNCTION("""COMPUTED_VALUE"""),"Entregada")</f>
        <v>Entregada</v>
      </c>
      <c r="J1023" s="19"/>
      <c r="K1023" s="19" t="str">
        <f>IFERROR(__xludf.DUMMYFUNCTION("""COMPUTED_VALUE"""),"Entregada")</f>
        <v>Entregada</v>
      </c>
      <c r="L1023" s="20">
        <f>IFERROR(__xludf.DUMMYFUNCTION("""COMPUTED_VALUE"""),44715.0)</f>
        <v>44715</v>
      </c>
      <c r="M1023" s="19" t="str">
        <f>IFERROR(__xludf.DUMMYFUNCTION("""COMPUTED_VALUE"""),"PCM")</f>
        <v>PCM</v>
      </c>
      <c r="N1023" s="19" t="str">
        <f>IFERROR(__xludf.DUMMYFUNCTION("""COMPUTED_VALUE"""),"PRIORIDAD 1 Q3 2023 OCTUBRE")</f>
        <v>PRIORIDAD 1 Q3 2023 OCTUBRE</v>
      </c>
    </row>
    <row r="1024" ht="15.75" customHeight="1">
      <c r="A1024" s="19" t="str">
        <f>IFERROR(__xludf.DUMMYFUNCTION("""COMPUTED_VALUE"""),"AB_3996")</f>
        <v>AB_3996</v>
      </c>
      <c r="B1024" s="19" t="str">
        <f>IFERROR(__xludf.DUMMYFUNCTION("""COMPUTED_VALUE"""),"AB_3996_E")</f>
        <v>AB_3996_E</v>
      </c>
      <c r="C1024" s="19" t="str">
        <f>IFERROR(__xludf.DUMMYFUNCTION("""COMPUTED_VALUE"""),"VA3996")</f>
        <v>VA3996</v>
      </c>
      <c r="D1024" s="19" t="str">
        <f>IFERROR(__xludf.DUMMYFUNCTION("""COMPUTED_VALUE"""),"Valle La Ligua")</f>
        <v>Valle La Ligua</v>
      </c>
      <c r="E1024" s="19" t="str">
        <f>IFERROR(__xludf.DUMMYFUNCTION("""COMPUTED_VALUE"""),"SITIO EN CONSTRUCCION")</f>
        <v>SITIO EN CONSTRUCCION</v>
      </c>
      <c r="F1024" s="19" t="str">
        <f>IFERROR(__xludf.DUMMYFUNCTION("""COMPUTED_VALUE"""),"VISITA")</f>
        <v>VISITA</v>
      </c>
      <c r="G1024" s="19" t="str">
        <f>IFERROR(__xludf.DUMMYFUNCTION("""COMPUTED_VALUE"""),"CV24")</f>
        <v>CV24</v>
      </c>
      <c r="H1024" s="19" t="str">
        <f>IFERROR(__xludf.DUMMYFUNCTION("""COMPUTED_VALUE"""),"MARJOS")</f>
        <v>MARJOS</v>
      </c>
      <c r="I1024" s="19" t="str">
        <f>IFERROR(__xludf.DUMMYFUNCTION("""COMPUTED_VALUE"""),"Entregada")</f>
        <v>Entregada</v>
      </c>
      <c r="J1024" s="20">
        <f>IFERROR(__xludf.DUMMYFUNCTION("""COMPUTED_VALUE"""),44882.0)</f>
        <v>44882</v>
      </c>
      <c r="K1024" s="19" t="str">
        <f>IFERROR(__xludf.DUMMYFUNCTION("""COMPUTED_VALUE"""),"Entregada")</f>
        <v>Entregada</v>
      </c>
      <c r="L1024" s="20">
        <f>IFERROR(__xludf.DUMMYFUNCTION("""COMPUTED_VALUE"""),44890.0)</f>
        <v>44890</v>
      </c>
      <c r="M1024" s="19" t="str">
        <f>IFERROR(__xludf.DUMMYFUNCTION("""COMPUTED_VALUE"""),"PCM")</f>
        <v>PCM</v>
      </c>
      <c r="N1024" s="19" t="str">
        <f>IFERROR(__xludf.DUMMYFUNCTION("""COMPUTED_VALUE"""),"PRIORIDAD 1 Q3 2023 OCTUBRE")</f>
        <v>PRIORIDAD 1 Q3 2023 OCTUBRE</v>
      </c>
    </row>
    <row r="1025" ht="15.75" customHeight="1">
      <c r="A1025" s="19" t="str">
        <f>IFERROR(__xludf.DUMMYFUNCTION("""COMPUTED_VALUE"""),"AB_4357")</f>
        <v>AB_4357</v>
      </c>
      <c r="B1025" s="19" t="str">
        <f>IFERROR(__xludf.DUMMYFUNCTION("""COMPUTED_VALUE"""),"AB_4357_A")</f>
        <v>AB_4357_A</v>
      </c>
      <c r="C1025" s="19" t="str">
        <f>IFERROR(__xludf.DUMMYFUNCTION("""COMPUTED_VALUE"""),"VA4357")</f>
        <v>VA4357</v>
      </c>
      <c r="D1025" s="19" t="str">
        <f>IFERROR(__xludf.DUMMYFUNCTION("""COMPUTED_VALUE"""),"Las Palmas Olmue")</f>
        <v>Las Palmas Olmue</v>
      </c>
      <c r="E1025" s="19" t="str">
        <f>IFERROR(__xludf.DUMMYFUNCTION("""COMPUTED_VALUE"""),"SITIO RFI")</f>
        <v>SITIO RFI</v>
      </c>
      <c r="F1025" s="19" t="str">
        <f>IFERROR(__xludf.DUMMYFUNCTION("""COMPUTED_VALUE"""),"RFI")</f>
        <v>RFI</v>
      </c>
      <c r="G1025" s="19" t="str">
        <f>IFERROR(__xludf.DUMMYFUNCTION("""COMPUTED_VALUE"""),"AS60")</f>
        <v>AS60</v>
      </c>
      <c r="H1025" s="19" t="str">
        <f>IFERROR(__xludf.DUMMYFUNCTION("""COMPUTED_VALUE"""),"MER")</f>
        <v>MER</v>
      </c>
      <c r="I1025" s="19" t="str">
        <f>IFERROR(__xludf.DUMMYFUNCTION("""COMPUTED_VALUE"""),"Entregada")</f>
        <v>Entregada</v>
      </c>
      <c r="J1025" s="20">
        <f>IFERROR(__xludf.DUMMYFUNCTION("""COMPUTED_VALUE"""),44708.0)</f>
        <v>44708</v>
      </c>
      <c r="K1025" s="19" t="str">
        <f>IFERROR(__xludf.DUMMYFUNCTION("""COMPUTED_VALUE"""),"Entregada")</f>
        <v>Entregada</v>
      </c>
      <c r="L1025" s="20">
        <f>IFERROR(__xludf.DUMMYFUNCTION("""COMPUTED_VALUE"""),44729.0)</f>
        <v>44729</v>
      </c>
      <c r="M1025" s="19" t="str">
        <f>IFERROR(__xludf.DUMMYFUNCTION("""COMPUTED_VALUE"""),"PCM")</f>
        <v>PCM</v>
      </c>
      <c r="N1025" s="19" t="str">
        <f>IFERROR(__xludf.DUMMYFUNCTION("""COMPUTED_VALUE"""),"PRIORIDAD 1 Q3 2023 OCTUBRE")</f>
        <v>PRIORIDAD 1 Q3 2023 OCTUBRE</v>
      </c>
    </row>
    <row r="1026" ht="15.75" customHeight="1">
      <c r="A1026" s="19" t="str">
        <f>IFERROR(__xludf.DUMMYFUNCTION("""COMPUTED_VALUE"""),"AB_5450")</f>
        <v>AB_5450</v>
      </c>
      <c r="B1026" s="19" t="str">
        <f>IFERROR(__xludf.DUMMYFUNCTION("""COMPUTED_VALUE"""),"AB_5450_B")</f>
        <v>AB_5450_B</v>
      </c>
      <c r="C1026" s="19" t="str">
        <f>IFERROR(__xludf.DUMMYFUNCTION("""COMPUTED_VALUE"""),"VA5450")</f>
        <v>VA5450</v>
      </c>
      <c r="D1026" s="19" t="str">
        <f>IFERROR(__xludf.DUMMYFUNCTION("""COMPUTED_VALUE"""),"Eduardo Pereira")</f>
        <v>Eduardo Pereira</v>
      </c>
      <c r="E1026" s="19" t="str">
        <f>IFERROR(__xludf.DUMMYFUNCTION("""COMPUTED_VALUE"""),"DETENIDO SAC")</f>
        <v>DETENIDO SAC</v>
      </c>
      <c r="F1026" s="19"/>
      <c r="G1026" s="19" t="str">
        <f>IFERROR(__xludf.DUMMYFUNCTION("""COMPUTED_VALUE"""),"AZOTEA")</f>
        <v>AZOTEA</v>
      </c>
      <c r="H1026" s="19" t="str">
        <f>IFERROR(__xludf.DUMMYFUNCTION("""COMPUTED_VALUE"""),"x")</f>
        <v>x</v>
      </c>
      <c r="I1026" s="19" t="str">
        <f>IFERROR(__xludf.DUMMYFUNCTION("""COMPUTED_VALUE"""),"x")</f>
        <v>x</v>
      </c>
      <c r="J1026" s="20" t="str">
        <f>IFERROR(__xludf.DUMMYFUNCTION("""COMPUTED_VALUE"""),"x")</f>
        <v>x</v>
      </c>
      <c r="K1026" s="19" t="str">
        <f>IFERROR(__xludf.DUMMYFUNCTION("""COMPUTED_VALUE"""),"x")</f>
        <v>x</v>
      </c>
      <c r="L1026" s="20" t="str">
        <f>IFERROR(__xludf.DUMMYFUNCTION("""COMPUTED_VALUE"""),"x")</f>
        <v>x</v>
      </c>
      <c r="M1026" s="19" t="str">
        <f>IFERROR(__xludf.DUMMYFUNCTION("""COMPUTED_VALUE"""),"PCM")</f>
        <v>PCM</v>
      </c>
      <c r="N1026" s="19" t="str">
        <f>IFERROR(__xludf.DUMMYFUNCTION("""COMPUTED_VALUE"""),"PRIORIDAD 3 Q1 2024 MARZO")</f>
        <v>PRIORIDAD 3 Q1 2024 MARZO</v>
      </c>
    </row>
    <row r="1027" ht="15.75" customHeight="1">
      <c r="A1027" s="19" t="str">
        <f>IFERROR(__xludf.DUMMYFUNCTION("""COMPUTED_VALUE"""),"AB_5602")</f>
        <v>AB_5602</v>
      </c>
      <c r="B1027" s="19" t="str">
        <f>IFERROR(__xludf.DUMMYFUNCTION("""COMPUTED_VALUE"""),"AB_5602_A")</f>
        <v>AB_5602_A</v>
      </c>
      <c r="C1027" s="19" t="str">
        <f>IFERROR(__xludf.DUMMYFUNCTION("""COMPUTED_VALUE"""),"VA5602")</f>
        <v>VA5602</v>
      </c>
      <c r="D1027" s="19" t="str">
        <f>IFERROR(__xludf.DUMMYFUNCTION("""COMPUTED_VALUE"""),"Palmas de Ocoa")</f>
        <v>Palmas de Ocoa</v>
      </c>
      <c r="E1027" s="19" t="str">
        <f>IFERROR(__xludf.DUMMYFUNCTION("""COMPUTED_VALUE"""),"SITIO PENDIENTE")</f>
        <v>SITIO PENDIENTE</v>
      </c>
      <c r="F1027" s="19"/>
      <c r="G1027" s="19" t="str">
        <f>IFERROR(__xludf.DUMMYFUNCTION("""COMPUTED_VALUE"""),"x")</f>
        <v>x</v>
      </c>
      <c r="H1027" s="19" t="str">
        <f>IFERROR(__xludf.DUMMYFUNCTION("""COMPUTED_VALUE"""),"x")</f>
        <v>x</v>
      </c>
      <c r="I1027" s="19" t="str">
        <f>IFERROR(__xludf.DUMMYFUNCTION("""COMPUTED_VALUE"""),"x")</f>
        <v>x</v>
      </c>
      <c r="J1027" s="20" t="str">
        <f>IFERROR(__xludf.DUMMYFUNCTION("""COMPUTED_VALUE"""),"x")</f>
        <v>x</v>
      </c>
      <c r="K1027" s="19" t="str">
        <f>IFERROR(__xludf.DUMMYFUNCTION("""COMPUTED_VALUE"""),"x")</f>
        <v>x</v>
      </c>
      <c r="L1027" s="20" t="str">
        <f>IFERROR(__xludf.DUMMYFUNCTION("""COMPUTED_VALUE"""),"x")</f>
        <v>x</v>
      </c>
      <c r="M1027" s="19" t="str">
        <f>IFERROR(__xludf.DUMMYFUNCTION("""COMPUTED_VALUE"""),"PCM")</f>
        <v>PCM</v>
      </c>
      <c r="N1027" s="19" t="str">
        <f>IFERROR(__xludf.DUMMYFUNCTION("""COMPUTED_VALUE"""),"PRIORIDAD 3 Q1 2024 MARZO")</f>
        <v>PRIORIDAD 3 Q1 2024 MARZO</v>
      </c>
    </row>
    <row r="1028" ht="15.75" customHeight="1">
      <c r="A1028" s="19" t="str">
        <f>IFERROR(__xludf.DUMMYFUNCTION("""COMPUTED_VALUE"""),"AB_6087")</f>
        <v>AB_6087</v>
      </c>
      <c r="B1028" s="19" t="str">
        <f>IFERROR(__xludf.DUMMYFUNCTION("""COMPUTED_VALUE"""),"AB_6087_D")</f>
        <v>AB_6087_D</v>
      </c>
      <c r="C1028" s="19" t="str">
        <f>IFERROR(__xludf.DUMMYFUNCTION("""COMPUTED_VALUE"""),"VA6087")</f>
        <v>VA6087</v>
      </c>
      <c r="D1028" s="19" t="str">
        <f>IFERROR(__xludf.DUMMYFUNCTION("""COMPUTED_VALUE"""),"Cerro Norte Observatorio")</f>
        <v>Cerro Norte Observatorio</v>
      </c>
      <c r="E1028" s="19" t="str">
        <f>IFERROR(__xludf.DUMMYFUNCTION("""COMPUTED_VALUE"""),"DETENIDO COMPRA ESTRUCTURA")</f>
        <v>DETENIDO COMPRA ESTRUCTURA</v>
      </c>
      <c r="F1028" s="19"/>
      <c r="G1028" s="19" t="str">
        <f>IFERROR(__xludf.DUMMYFUNCTION("""COMPUTED_VALUE"""),"MP R30")</f>
        <v>MP R30</v>
      </c>
      <c r="H1028" s="19" t="str">
        <f>IFERROR(__xludf.DUMMYFUNCTION("""COMPUTED_VALUE"""),"")</f>
        <v/>
      </c>
      <c r="I1028" s="19" t="str">
        <f>IFERROR(__xludf.DUMMYFUNCTION("""COMPUTED_VALUE"""),"")</f>
        <v/>
      </c>
      <c r="J1028" s="20" t="str">
        <f>IFERROR(__xludf.DUMMYFUNCTION("""COMPUTED_VALUE"""),"")</f>
        <v/>
      </c>
      <c r="K1028" s="19" t="str">
        <f>IFERROR(__xludf.DUMMYFUNCTION("""COMPUTED_VALUE"""),"")</f>
        <v/>
      </c>
      <c r="L1028" s="20" t="str">
        <f>IFERROR(__xludf.DUMMYFUNCTION("""COMPUTED_VALUE"""),"")</f>
        <v/>
      </c>
      <c r="M1028" s="19" t="str">
        <f>IFERROR(__xludf.DUMMYFUNCTION("""COMPUTED_VALUE"""),"PCM")</f>
        <v>PCM</v>
      </c>
      <c r="N1028" s="19" t="str">
        <f>IFERROR(__xludf.DUMMYFUNCTION("""COMPUTED_VALUE"""),"PRIORIDAD 3 Q1 2024 MARZO")</f>
        <v>PRIORIDAD 3 Q1 2024 MARZO</v>
      </c>
    </row>
    <row r="1029" ht="15.75" customHeight="1">
      <c r="A1029" s="19" t="str">
        <f>IFERROR(__xludf.DUMMYFUNCTION("""COMPUTED_VALUE"""),"AB_6088")</f>
        <v>AB_6088</v>
      </c>
      <c r="B1029" s="19" t="str">
        <f>IFERROR(__xludf.DUMMYFUNCTION("""COMPUTED_VALUE"""),"AB_6088_A")</f>
        <v>AB_6088_A</v>
      </c>
      <c r="C1029" s="19" t="str">
        <f>IFERROR(__xludf.DUMMYFUNCTION("""COMPUTED_VALUE"""),"VA6088")</f>
        <v>VA6088</v>
      </c>
      <c r="D1029" s="19" t="str">
        <f>IFERROR(__xludf.DUMMYFUNCTION("""COMPUTED_VALUE"""),"Monte Internacional")</f>
        <v>Monte Internacional</v>
      </c>
      <c r="E1029" s="19" t="str">
        <f>IFERROR(__xludf.DUMMYFUNCTION("""COMPUTED_VALUE"""),"SITIO EN CONSTRUCCION")</f>
        <v>SITIO EN CONSTRUCCION</v>
      </c>
      <c r="F1029" s="19" t="str">
        <f>IFERROR(__xludf.DUMMYFUNCTION("""COMPUTED_VALUE"""),"VISITA")</f>
        <v>VISITA</v>
      </c>
      <c r="G1029" s="19" t="str">
        <f>IFERROR(__xludf.DUMMYFUNCTION("""COMPUTED_VALUE"""),"CV36")</f>
        <v>CV36</v>
      </c>
      <c r="H1029" s="19" t="str">
        <f>IFERROR(__xludf.DUMMYFUNCTION("""COMPUTED_VALUE"""),"INCOSERV")</f>
        <v>INCOSERV</v>
      </c>
      <c r="I1029" s="19" t="str">
        <f>IFERROR(__xludf.DUMMYFUNCTION("""COMPUTED_VALUE"""),"Terminada")</f>
        <v>Terminada</v>
      </c>
      <c r="J1029" s="20">
        <f>IFERROR(__xludf.DUMMYFUNCTION("""COMPUTED_VALUE"""),45034.0)</f>
        <v>45034</v>
      </c>
      <c r="K1029" s="19" t="str">
        <f>IFERROR(__xludf.DUMMYFUNCTION("""COMPUTED_VALUE"""),"Por pintar ")</f>
        <v>Por pintar </v>
      </c>
      <c r="L1029" s="20">
        <f>IFERROR(__xludf.DUMMYFUNCTION("""COMPUTED_VALUE"""),45107.0)</f>
        <v>45107</v>
      </c>
      <c r="M1029" s="19" t="str">
        <f>IFERROR(__xludf.DUMMYFUNCTION("""COMPUTED_VALUE"""),"PCM")</f>
        <v>PCM</v>
      </c>
      <c r="N1029" s="19" t="str">
        <f>IFERROR(__xludf.DUMMYFUNCTION("""COMPUTED_VALUE"""),"PRIORIDAD 1 Q3 2023 OCTUBRE")</f>
        <v>PRIORIDAD 1 Q3 2023 OCTUBRE</v>
      </c>
    </row>
    <row r="1030" ht="15.75" customHeight="1">
      <c r="A1030" s="19" t="str">
        <f>IFERROR(__xludf.DUMMYFUNCTION("""COMPUTED_VALUE"""),"AB_6161")</f>
        <v>AB_6161</v>
      </c>
      <c r="B1030" s="19" t="str">
        <f>IFERROR(__xludf.DUMMYFUNCTION("""COMPUTED_VALUE"""),"AB_6161_D")</f>
        <v>AB_6161_D</v>
      </c>
      <c r="C1030" s="19" t="str">
        <f>IFERROR(__xludf.DUMMYFUNCTION("""COMPUTED_VALUE"""),"VA6161")</f>
        <v>VA6161</v>
      </c>
      <c r="D1030" s="19" t="str">
        <f>IFERROR(__xludf.DUMMYFUNCTION("""COMPUTED_VALUE"""),"Lo Zarate")</f>
        <v>Lo Zarate</v>
      </c>
      <c r="E1030" s="19" t="str">
        <f>IFERROR(__xludf.DUMMYFUNCTION("""COMPUTED_VALUE"""),"DETENIDO SUBTEL")</f>
        <v>DETENIDO SUBTEL</v>
      </c>
      <c r="F1030" s="19" t="str">
        <f>IFERROR(__xludf.DUMMYFUNCTION("""COMPUTED_VALUE"""),"MONTAJE")</f>
        <v>MONTAJE</v>
      </c>
      <c r="G1030" s="19" t="str">
        <f>IFERROR(__xludf.DUMMYFUNCTION("""COMPUTED_VALUE"""),"AS48")</f>
        <v>AS48</v>
      </c>
      <c r="H1030" s="19" t="str">
        <f>IFERROR(__xludf.DUMMYFUNCTION("""COMPUTED_VALUE"""),"MT")</f>
        <v>MT</v>
      </c>
      <c r="I1030" s="19" t="str">
        <f>IFERROR(__xludf.DUMMYFUNCTION("""COMPUTED_VALUE"""),"Entregada")</f>
        <v>Entregada</v>
      </c>
      <c r="J1030" s="20">
        <f>IFERROR(__xludf.DUMMYFUNCTION("""COMPUTED_VALUE"""),44578.0)</f>
        <v>44578</v>
      </c>
      <c r="K1030" s="19" t="str">
        <f>IFERROR(__xludf.DUMMYFUNCTION("""COMPUTED_VALUE"""),"Entregada")</f>
        <v>Entregada</v>
      </c>
      <c r="L1030" s="20">
        <f>IFERROR(__xludf.DUMMYFUNCTION("""COMPUTED_VALUE"""),44558.0)</f>
        <v>44558</v>
      </c>
      <c r="M1030" s="19" t="str">
        <f>IFERROR(__xludf.DUMMYFUNCTION("""COMPUTED_VALUE"""),"PCM")</f>
        <v>PCM</v>
      </c>
      <c r="N1030" s="19" t="str">
        <f>IFERROR(__xludf.DUMMYFUNCTION("""COMPUTED_VALUE"""),"PRIORIDAD 1 Q3 2023 OCTUBRE")</f>
        <v>PRIORIDAD 1 Q3 2023 OCTUBRE</v>
      </c>
    </row>
    <row r="1031" ht="15.75" customHeight="1">
      <c r="A1031" s="19" t="str">
        <f>IFERROR(__xludf.DUMMYFUNCTION("""COMPUTED_VALUE"""),"AB_6163")</f>
        <v>AB_6163</v>
      </c>
      <c r="B1031" s="19" t="str">
        <f>IFERROR(__xludf.DUMMYFUNCTION("""COMPUTED_VALUE"""),"AB_6163_B")</f>
        <v>AB_6163_B</v>
      </c>
      <c r="C1031" s="19" t="str">
        <f>IFERROR(__xludf.DUMMYFUNCTION("""COMPUTED_VALUE"""),"VA6163")</f>
        <v>VA6163</v>
      </c>
      <c r="D1031" s="19" t="str">
        <f>IFERROR(__xludf.DUMMYFUNCTION("""COMPUTED_VALUE"""),"Nilhue")</f>
        <v>Nilhue</v>
      </c>
      <c r="E1031" s="19" t="str">
        <f>IFERROR(__xludf.DUMMYFUNCTION("""COMPUTED_VALUE"""),"SITIO RFI")</f>
        <v>SITIO RFI</v>
      </c>
      <c r="F1031" s="19" t="str">
        <f>IFERROR(__xludf.DUMMYFUNCTION("""COMPUTED_VALUE"""),"RFI")</f>
        <v>RFI</v>
      </c>
      <c r="G1031" s="19" t="str">
        <f>IFERROR(__xludf.DUMMYFUNCTION("""COMPUTED_VALUE"""),"CV36")</f>
        <v>CV36</v>
      </c>
      <c r="H1031" s="19" t="str">
        <f>IFERROR(__xludf.DUMMYFUNCTION("""COMPUTED_VALUE"""),"AJ")</f>
        <v>AJ</v>
      </c>
      <c r="I1031" s="19" t="str">
        <f>IFERROR(__xludf.DUMMYFUNCTION("""COMPUTED_VALUE"""),"Entregada")</f>
        <v>Entregada</v>
      </c>
      <c r="J1031" s="20">
        <f>IFERROR(__xludf.DUMMYFUNCTION("""COMPUTED_VALUE"""),44697.0)</f>
        <v>44697</v>
      </c>
      <c r="K1031" s="19" t="str">
        <f>IFERROR(__xludf.DUMMYFUNCTION("""COMPUTED_VALUE"""),"Entregada")</f>
        <v>Entregada</v>
      </c>
      <c r="L1031" s="20">
        <f>IFERROR(__xludf.DUMMYFUNCTION("""COMPUTED_VALUE"""),44862.0)</f>
        <v>44862</v>
      </c>
      <c r="M1031" s="19" t="str">
        <f>IFERROR(__xludf.DUMMYFUNCTION("""COMPUTED_VALUE"""),"PCM")</f>
        <v>PCM</v>
      </c>
      <c r="N1031" s="19" t="str">
        <f>IFERROR(__xludf.DUMMYFUNCTION("""COMPUTED_VALUE"""),"PRIORIDAD 1 Q3 2023 OCTUBRE")</f>
        <v>PRIORIDAD 1 Q3 2023 OCTUBRE</v>
      </c>
    </row>
    <row r="1032" ht="15.75" customHeight="1">
      <c r="A1032" s="19" t="str">
        <f>IFERROR(__xludf.DUMMYFUNCTION("""COMPUTED_VALUE"""),"AB_6184")</f>
        <v>AB_6184</v>
      </c>
      <c r="B1032" s="19" t="str">
        <f>IFERROR(__xludf.DUMMYFUNCTION("""COMPUTED_VALUE"""),"AB_6184_G")</f>
        <v>AB_6184_G</v>
      </c>
      <c r="C1032" s="19" t="str">
        <f>IFERROR(__xludf.DUMMYFUNCTION("""COMPUTED_VALUE"""),"VA6184")</f>
        <v>VA6184</v>
      </c>
      <c r="D1032" s="19" t="str">
        <f>IFERROR(__xludf.DUMMYFUNCTION("""COMPUTED_VALUE"""),"Rinconada Ruta")</f>
        <v>Rinconada Ruta</v>
      </c>
      <c r="E1032" s="19" t="str">
        <f>IFERROR(__xludf.DUMMYFUNCTION("""COMPUTED_VALUE"""),"SITIO RFI")</f>
        <v>SITIO RFI</v>
      </c>
      <c r="F1032" s="19" t="str">
        <f>IFERROR(__xludf.DUMMYFUNCTION("""COMPUTED_VALUE"""),"RFI")</f>
        <v>RFI</v>
      </c>
      <c r="G1032" s="19" t="str">
        <f>IFERROR(__xludf.DUMMYFUNCTION("""COMPUTED_VALUE"""),"AS36")</f>
        <v>AS36</v>
      </c>
      <c r="H1032" s="19" t="str">
        <f>IFERROR(__xludf.DUMMYFUNCTION("""COMPUTED_VALUE"""),"METALING")</f>
        <v>METALING</v>
      </c>
      <c r="I1032" s="19" t="str">
        <f>IFERROR(__xludf.DUMMYFUNCTION("""COMPUTED_VALUE"""),"Entregada")</f>
        <v>Entregada</v>
      </c>
      <c r="J1032" s="20">
        <f>IFERROR(__xludf.DUMMYFUNCTION("""COMPUTED_VALUE"""),44680.0)</f>
        <v>44680</v>
      </c>
      <c r="K1032" s="19" t="str">
        <f>IFERROR(__xludf.DUMMYFUNCTION("""COMPUTED_VALUE"""),"Entregada")</f>
        <v>Entregada</v>
      </c>
      <c r="L1032" s="20">
        <f>IFERROR(__xludf.DUMMYFUNCTION("""COMPUTED_VALUE"""),44722.0)</f>
        <v>44722</v>
      </c>
      <c r="M1032" s="19" t="str">
        <f>IFERROR(__xludf.DUMMYFUNCTION("""COMPUTED_VALUE"""),"PCM")</f>
        <v>PCM</v>
      </c>
      <c r="N1032" s="19" t="str">
        <f>IFERROR(__xludf.DUMMYFUNCTION("""COMPUTED_VALUE"""),"PRIORIDAD 1 Q3 2023 OCTUBRE")</f>
        <v>PRIORIDAD 1 Q3 2023 OCTUBRE</v>
      </c>
    </row>
    <row r="1033" ht="15.75" customHeight="1">
      <c r="A1033" s="19" t="str">
        <f>IFERROR(__xludf.DUMMYFUNCTION("""COMPUTED_VALUE"""),"AB_6187")</f>
        <v>AB_6187</v>
      </c>
      <c r="B1033" s="19" t="str">
        <f>IFERROR(__xludf.DUMMYFUNCTION("""COMPUTED_VALUE"""),"AB_6187_B")</f>
        <v>AB_6187_B</v>
      </c>
      <c r="C1033" s="19" t="str">
        <f>IFERROR(__xludf.DUMMYFUNCTION("""COMPUTED_VALUE"""),"VA6187")</f>
        <v>VA6187</v>
      </c>
      <c r="D1033" s="19" t="str">
        <f>IFERROR(__xludf.DUMMYFUNCTION("""COMPUTED_VALUE"""),"Santa Maria Placilla")</f>
        <v>Santa Maria Placilla</v>
      </c>
      <c r="E1033" s="19" t="str">
        <f>IFERROR(__xludf.DUMMYFUNCTION("""COMPUTED_VALUE"""),"SITIO RFI")</f>
        <v>SITIO RFI</v>
      </c>
      <c r="F1033" s="19" t="str">
        <f>IFERROR(__xludf.DUMMYFUNCTION("""COMPUTED_VALUE"""),"RFI")</f>
        <v>RFI</v>
      </c>
      <c r="G1033" s="19" t="str">
        <f>IFERROR(__xludf.DUMMYFUNCTION("""COMPUTED_VALUE"""),"AS60")</f>
        <v>AS60</v>
      </c>
      <c r="H1033" s="19" t="str">
        <f>IFERROR(__xludf.DUMMYFUNCTION("""COMPUTED_VALUE"""),"DEITEL")</f>
        <v>DEITEL</v>
      </c>
      <c r="I1033" s="19" t="str">
        <f>IFERROR(__xludf.DUMMYFUNCTION("""COMPUTED_VALUE"""),"Entregada")</f>
        <v>Entregada</v>
      </c>
      <c r="J1033" s="20">
        <f>IFERROR(__xludf.DUMMYFUNCTION("""COMPUTED_VALUE"""),44720.0)</f>
        <v>44720</v>
      </c>
      <c r="K1033" s="19" t="str">
        <f>IFERROR(__xludf.DUMMYFUNCTION("""COMPUTED_VALUE"""),"Entregada")</f>
        <v>Entregada</v>
      </c>
      <c r="L1033" s="20">
        <f>IFERROR(__xludf.DUMMYFUNCTION("""COMPUTED_VALUE"""),44767.0)</f>
        <v>44767</v>
      </c>
      <c r="M1033" s="19" t="str">
        <f>IFERROR(__xludf.DUMMYFUNCTION("""COMPUTED_VALUE"""),"PCM")</f>
        <v>PCM</v>
      </c>
      <c r="N1033" s="19" t="str">
        <f>IFERROR(__xludf.DUMMYFUNCTION("""COMPUTED_VALUE"""),"PRIORIDAD 1 Q3 2023 OCTUBRE")</f>
        <v>PRIORIDAD 1 Q3 2023 OCTUBRE</v>
      </c>
    </row>
    <row r="1034" ht="15.75" customHeight="1">
      <c r="A1034" s="19" t="str">
        <f>IFERROR(__xludf.DUMMYFUNCTION("""COMPUTED_VALUE"""),"AB_7125")</f>
        <v>AB_7125</v>
      </c>
      <c r="B1034" s="19" t="str">
        <f>IFERROR(__xludf.DUMMYFUNCTION("""COMPUTED_VALUE"""),"AB_7125_B")</f>
        <v>AB_7125_B</v>
      </c>
      <c r="C1034" s="19" t="str">
        <f>IFERROR(__xludf.DUMMYFUNCTION("""COMPUTED_VALUE"""),"VA7125")</f>
        <v>VA7125</v>
      </c>
      <c r="D1034" s="19" t="str">
        <f>IFERROR(__xludf.DUMMYFUNCTION("""COMPUTED_VALUE"""),"Cerro Colorado Concon RU")</f>
        <v>Cerro Colorado Concon RU</v>
      </c>
      <c r="E1034" s="19" t="str">
        <f>IFERROR(__xludf.DUMMYFUNCTION("""COMPUTED_VALUE"""),"SITIO RFI")</f>
        <v>SITIO RFI</v>
      </c>
      <c r="F1034" s="19" t="str">
        <f>IFERROR(__xludf.DUMMYFUNCTION("""COMPUTED_VALUE"""),"RFI")</f>
        <v>RFI</v>
      </c>
      <c r="G1034" s="19" t="str">
        <f>IFERROR(__xludf.DUMMYFUNCTION("""COMPUTED_VALUE"""),"AS48")</f>
        <v>AS48</v>
      </c>
      <c r="H1034" s="19" t="str">
        <f>IFERROR(__xludf.DUMMYFUNCTION("""COMPUTED_VALUE"""),"AJ")</f>
        <v>AJ</v>
      </c>
      <c r="I1034" s="19" t="str">
        <f>IFERROR(__xludf.DUMMYFUNCTION("""COMPUTED_VALUE"""),"Entregada")</f>
        <v>Entregada</v>
      </c>
      <c r="J1034" s="20">
        <f>IFERROR(__xludf.DUMMYFUNCTION("""COMPUTED_VALUE"""),44636.0)</f>
        <v>44636</v>
      </c>
      <c r="K1034" s="19" t="str">
        <f>IFERROR(__xludf.DUMMYFUNCTION("""COMPUTED_VALUE"""),"Entregada")</f>
        <v>Entregada</v>
      </c>
      <c r="L1034" s="20">
        <f>IFERROR(__xludf.DUMMYFUNCTION("""COMPUTED_VALUE"""),44656.0)</f>
        <v>44656</v>
      </c>
      <c r="M1034" s="19" t="str">
        <f>IFERROR(__xludf.DUMMYFUNCTION("""COMPUTED_VALUE"""),"PCM")</f>
        <v>PCM</v>
      </c>
      <c r="N1034" s="19" t="str">
        <f>IFERROR(__xludf.DUMMYFUNCTION("""COMPUTED_VALUE"""),"PRIORIDAD 1 Q3 2023 OCTUBRE")</f>
        <v>PRIORIDAD 1 Q3 2023 OCTUBRE</v>
      </c>
    </row>
    <row r="1035" ht="15.75" customHeight="1">
      <c r="A1035" s="19" t="str">
        <f>IFERROR(__xludf.DUMMYFUNCTION("""COMPUTED_VALUE"""),"AB_7525")</f>
        <v>AB_7525</v>
      </c>
      <c r="B1035" s="19" t="str">
        <f>IFERROR(__xludf.DUMMYFUNCTION("""COMPUTED_VALUE"""),"AB_7525_F")</f>
        <v>AB_7525_F</v>
      </c>
      <c r="C1035" s="19" t="str">
        <f>IFERROR(__xludf.DUMMYFUNCTION("""COMPUTED_VALUE"""),"VA7525")</f>
        <v>VA7525</v>
      </c>
      <c r="D1035" s="19" t="str">
        <f>IFERROR(__xludf.DUMMYFUNCTION("""COMPUTED_VALUE"""),"Nogales La Calera RU")</f>
        <v>Nogales La Calera RU</v>
      </c>
      <c r="E1035" s="19" t="str">
        <f>IFERROR(__xludf.DUMMYFUNCTION("""COMPUTED_VALUE"""),"SITIO RFI")</f>
        <v>SITIO RFI</v>
      </c>
      <c r="F1035" s="19" t="str">
        <f>IFERROR(__xludf.DUMMYFUNCTION("""COMPUTED_VALUE"""),"RFI")</f>
        <v>RFI</v>
      </c>
      <c r="G1035" s="19" t="str">
        <f>IFERROR(__xludf.DUMMYFUNCTION("""COMPUTED_VALUE"""),"AS42")</f>
        <v>AS42</v>
      </c>
      <c r="H1035" s="19" t="str">
        <f>IFERROR(__xludf.DUMMYFUNCTION("""COMPUTED_VALUE"""),"AJ")</f>
        <v>AJ</v>
      </c>
      <c r="I1035" s="19" t="str">
        <f>IFERROR(__xludf.DUMMYFUNCTION("""COMPUTED_VALUE"""),"Entregada")</f>
        <v>Entregada</v>
      </c>
      <c r="J1035" s="20">
        <f>IFERROR(__xludf.DUMMYFUNCTION("""COMPUTED_VALUE"""),44369.0)</f>
        <v>44369</v>
      </c>
      <c r="K1035" s="19" t="str">
        <f>IFERROR(__xludf.DUMMYFUNCTION("""COMPUTED_VALUE"""),"Entregada")</f>
        <v>Entregada</v>
      </c>
      <c r="L1035" s="20">
        <f>IFERROR(__xludf.DUMMYFUNCTION("""COMPUTED_VALUE"""),44369.0)</f>
        <v>44369</v>
      </c>
      <c r="M1035" s="19" t="str">
        <f>IFERROR(__xludf.DUMMYFUNCTION("""COMPUTED_VALUE"""),"PCM")</f>
        <v>PCM</v>
      </c>
      <c r="N1035" s="19" t="str">
        <f>IFERROR(__xludf.DUMMYFUNCTION("""COMPUTED_VALUE"""),"PRIORIDAD 1 Q3 2023 OCTUBRE")</f>
        <v>PRIORIDAD 1 Q3 2023 OCTUBRE</v>
      </c>
    </row>
    <row r="1036" ht="15.75" customHeight="1">
      <c r="A1036" s="19" t="str">
        <f>IFERROR(__xludf.DUMMYFUNCTION("""COMPUTED_VALUE"""),"AB_7648")</f>
        <v>AB_7648</v>
      </c>
      <c r="B1036" s="19" t="str">
        <f>IFERROR(__xludf.DUMMYFUNCTION("""COMPUTED_VALUE"""),"AB_7648_C")</f>
        <v>AB_7648_C</v>
      </c>
      <c r="C1036" s="19" t="str">
        <f>IFERROR(__xludf.DUMMYFUNCTION("""COMPUTED_VALUE"""),"VA7648")</f>
        <v>VA7648</v>
      </c>
      <c r="D1036" s="19" t="str">
        <f>IFERROR(__xludf.DUMMYFUNCTION("""COMPUTED_VALUE"""),"Cerro Viveros Hijuelas")</f>
        <v>Cerro Viveros Hijuelas</v>
      </c>
      <c r="E1036" s="19" t="str">
        <f>IFERROR(__xludf.DUMMYFUNCTION("""COMPUTED_VALUE"""),"SITIO RFI")</f>
        <v>SITIO RFI</v>
      </c>
      <c r="F1036" s="19" t="str">
        <f>IFERROR(__xludf.DUMMYFUNCTION("""COMPUTED_VALUE"""),"RFI")</f>
        <v>RFI</v>
      </c>
      <c r="G1036" s="19" t="str">
        <f>IFERROR(__xludf.DUMMYFUNCTION("""COMPUTED_VALUE"""),"CV36")</f>
        <v>CV36</v>
      </c>
      <c r="H1036" s="19" t="str">
        <f>IFERROR(__xludf.DUMMYFUNCTION("""COMPUTED_VALUE"""),"SYC")</f>
        <v>SYC</v>
      </c>
      <c r="I1036" s="19" t="str">
        <f>IFERROR(__xludf.DUMMYFUNCTION("""COMPUTED_VALUE"""),"Entregada")</f>
        <v>Entregada</v>
      </c>
      <c r="J1036" s="20">
        <f>IFERROR(__xludf.DUMMYFUNCTION("""COMPUTED_VALUE"""),44397.0)</f>
        <v>44397</v>
      </c>
      <c r="K1036" s="19" t="str">
        <f>IFERROR(__xludf.DUMMYFUNCTION("""COMPUTED_VALUE"""),"Entregada")</f>
        <v>Entregada</v>
      </c>
      <c r="L1036" s="20">
        <f>IFERROR(__xludf.DUMMYFUNCTION("""COMPUTED_VALUE"""),44397.0)</f>
        <v>44397</v>
      </c>
      <c r="M1036" s="19" t="str">
        <f>IFERROR(__xludf.DUMMYFUNCTION("""COMPUTED_VALUE"""),"PCM")</f>
        <v>PCM</v>
      </c>
      <c r="N1036" s="19" t="str">
        <f>IFERROR(__xludf.DUMMYFUNCTION("""COMPUTED_VALUE"""),"PRIORIDAD 1 Q3 2023 OCTUBRE")</f>
        <v>PRIORIDAD 1 Q3 2023 OCTUBRE</v>
      </c>
    </row>
    <row r="1037" ht="15.75" customHeight="1">
      <c r="A1037" s="19" t="str">
        <f>IFERROR(__xludf.DUMMYFUNCTION("""COMPUTED_VALUE"""),"AB_8122")</f>
        <v>AB_8122</v>
      </c>
      <c r="B1037" s="19" t="str">
        <f>IFERROR(__xludf.DUMMYFUNCTION("""COMPUTED_VALUE"""),"AB_8122_C")</f>
        <v>AB_8122_C</v>
      </c>
      <c r="C1037" s="19" t="str">
        <f>IFERROR(__xludf.DUMMYFUNCTION("""COMPUTED_VALUE"""),"VA8122")</f>
        <v>VA8122</v>
      </c>
      <c r="D1037" s="19" t="str">
        <f>IFERROR(__xludf.DUMMYFUNCTION("""COMPUTED_VALUE"""),"Ruta F-226")</f>
        <v>Ruta F-226</v>
      </c>
      <c r="E1037" s="19" t="str">
        <f>IFERROR(__xludf.DUMMYFUNCTION("""COMPUTED_VALUE"""),"SITIO EN CONSTRUCCION")</f>
        <v>SITIO EN CONSTRUCCION</v>
      </c>
      <c r="F1037" s="19" t="str">
        <f>IFERROR(__xludf.DUMMYFUNCTION("""COMPUTED_VALUE"""),"VISITA")</f>
        <v>VISITA</v>
      </c>
      <c r="G1037" s="19" t="str">
        <f>IFERROR(__xludf.DUMMYFUNCTION("""COMPUTED_VALUE"""),"CV60")</f>
        <v>CV60</v>
      </c>
      <c r="H1037" s="19" t="str">
        <f>IFERROR(__xludf.DUMMYFUNCTION("""COMPUTED_VALUE"""),"DEPROMET")</f>
        <v>DEPROMET</v>
      </c>
      <c r="I1037" s="19" t="str">
        <f>IFERROR(__xludf.DUMMYFUNCTION("""COMPUTED_VALUE"""),"Terminada")</f>
        <v>Terminada</v>
      </c>
      <c r="J1037" s="20">
        <f>IFERROR(__xludf.DUMMYFUNCTION("""COMPUTED_VALUE"""),44708.0)</f>
        <v>44708</v>
      </c>
      <c r="K1037" s="19" t="str">
        <f>IFERROR(__xludf.DUMMYFUNCTION("""COMPUTED_VALUE"""),"Terminada")</f>
        <v>Terminada</v>
      </c>
      <c r="L1037" s="20">
        <f>IFERROR(__xludf.DUMMYFUNCTION("""COMPUTED_VALUE"""),44771.0)</f>
        <v>44771</v>
      </c>
      <c r="M1037" s="19" t="str">
        <f>IFERROR(__xludf.DUMMYFUNCTION("""COMPUTED_VALUE"""),"PCM")</f>
        <v>PCM</v>
      </c>
      <c r="N1037" s="19" t="str">
        <f>IFERROR(__xludf.DUMMYFUNCTION("""COMPUTED_VALUE"""),"PRIORIDAD 1 Q3 2023 OCTUBRE")</f>
        <v>PRIORIDAD 1 Q3 2023 OCTUBRE</v>
      </c>
    </row>
    <row r="1038" ht="15.75" customHeight="1">
      <c r="A1038" s="19" t="str">
        <f>IFERROR(__xludf.DUMMYFUNCTION("""COMPUTED_VALUE"""),"AB_8123")</f>
        <v>AB_8123</v>
      </c>
      <c r="B1038" s="19" t="str">
        <f>IFERROR(__xludf.DUMMYFUNCTION("""COMPUTED_VALUE"""),"AB_8123_C")</f>
        <v>AB_8123_C</v>
      </c>
      <c r="C1038" s="19" t="str">
        <f>IFERROR(__xludf.DUMMYFUNCTION("""COMPUTED_VALUE"""),"VA8123")</f>
        <v>VA8123</v>
      </c>
      <c r="D1038" s="19" t="str">
        <f>IFERROR(__xludf.DUMMYFUNCTION("""COMPUTED_VALUE"""),"Cuesta Chacabuco")</f>
        <v>Cuesta Chacabuco</v>
      </c>
      <c r="E1038" s="19" t="str">
        <f>IFERROR(__xludf.DUMMYFUNCTION("""COMPUTED_VALUE"""),"SITIO RFI")</f>
        <v>SITIO RFI</v>
      </c>
      <c r="F1038" s="19" t="str">
        <f>IFERROR(__xludf.DUMMYFUNCTION("""COMPUTED_VALUE"""),"RFI")</f>
        <v>RFI</v>
      </c>
      <c r="G1038" s="19" t="str">
        <f>IFERROR(__xludf.DUMMYFUNCTION("""COMPUTED_VALUE"""),"CV36")</f>
        <v>CV36</v>
      </c>
      <c r="H1038" s="19" t="str">
        <f>IFERROR(__xludf.DUMMYFUNCTION("""COMPUTED_VALUE"""),"ADM")</f>
        <v>ADM</v>
      </c>
      <c r="I1038" s="19" t="str">
        <f>IFERROR(__xludf.DUMMYFUNCTION("""COMPUTED_VALUE"""),"Entregada")</f>
        <v>Entregada</v>
      </c>
      <c r="J1038" s="20">
        <f>IFERROR(__xludf.DUMMYFUNCTION("""COMPUTED_VALUE"""),44743.0)</f>
        <v>44743</v>
      </c>
      <c r="K1038" s="19" t="str">
        <f>IFERROR(__xludf.DUMMYFUNCTION("""COMPUTED_VALUE"""),"Entregada")</f>
        <v>Entregada</v>
      </c>
      <c r="L1038" s="20">
        <f>IFERROR(__xludf.DUMMYFUNCTION("""COMPUTED_VALUE"""),44757.0)</f>
        <v>44757</v>
      </c>
      <c r="M1038" s="19" t="str">
        <f>IFERROR(__xludf.DUMMYFUNCTION("""COMPUTED_VALUE"""),"PCM")</f>
        <v>PCM</v>
      </c>
      <c r="N1038" s="19" t="str">
        <f>IFERROR(__xludf.DUMMYFUNCTION("""COMPUTED_VALUE"""),"PRIORIDAD 1 Q3 2023 OCTUBRE")</f>
        <v>PRIORIDAD 1 Q3 2023 OCTUBRE</v>
      </c>
    </row>
    <row r="1039" ht="15.75" customHeight="1">
      <c r="A1039" s="19" t="str">
        <f>IFERROR(__xludf.DUMMYFUNCTION("""COMPUTED_VALUE"""),"AB_8124")</f>
        <v>AB_8124</v>
      </c>
      <c r="B1039" s="19" t="str">
        <f>IFERROR(__xludf.DUMMYFUNCTION("""COMPUTED_VALUE"""),"AB_8124_G")</f>
        <v>AB_8124_G</v>
      </c>
      <c r="C1039" s="19" t="str">
        <f>IFERROR(__xludf.DUMMYFUNCTION("""COMPUTED_VALUE"""),"VA8124")</f>
        <v>VA8124</v>
      </c>
      <c r="D1039" s="19" t="str">
        <f>IFERROR(__xludf.DUMMYFUNCTION("""COMPUTED_VALUE"""),"Reñaca Alto Cerro")</f>
        <v>Reñaca Alto Cerro</v>
      </c>
      <c r="E1039" s="19" t="str">
        <f>IFERROR(__xludf.DUMMYFUNCTION("""COMPUTED_VALUE"""),"SITIO RFI")</f>
        <v>SITIO RFI</v>
      </c>
      <c r="F1039" s="19" t="str">
        <f>IFERROR(__xludf.DUMMYFUNCTION("""COMPUTED_VALUE"""),"RFI")</f>
        <v>RFI</v>
      </c>
      <c r="G1039" s="19" t="str">
        <f>IFERROR(__xludf.DUMMYFUNCTION("""COMPUTED_VALUE"""),"CV42")</f>
        <v>CV42</v>
      </c>
      <c r="H1039" s="19" t="str">
        <f>IFERROR(__xludf.DUMMYFUNCTION("""COMPUTED_VALUE"""),"SYC")</f>
        <v>SYC</v>
      </c>
      <c r="I1039" s="19" t="str">
        <f>IFERROR(__xludf.DUMMYFUNCTION("""COMPUTED_VALUE"""),"Entregada")</f>
        <v>Entregada</v>
      </c>
      <c r="J1039" s="20">
        <f>IFERROR(__xludf.DUMMYFUNCTION("""COMPUTED_VALUE"""),44854.0)</f>
        <v>44854</v>
      </c>
      <c r="K1039" s="19" t="str">
        <f>IFERROR(__xludf.DUMMYFUNCTION("""COMPUTED_VALUE"""),"Entregada")</f>
        <v>Entregada</v>
      </c>
      <c r="L1039" s="20">
        <f>IFERROR(__xludf.DUMMYFUNCTION("""COMPUTED_VALUE"""),44869.0)</f>
        <v>44869</v>
      </c>
      <c r="M1039" s="19" t="str">
        <f>IFERROR(__xludf.DUMMYFUNCTION("""COMPUTED_VALUE"""),"PCM")</f>
        <v>PCM</v>
      </c>
      <c r="N1039" s="19" t="str">
        <f>IFERROR(__xludf.DUMMYFUNCTION("""COMPUTED_VALUE"""),"PRIORIDAD 1 Q3 2023 OCTUBRE")</f>
        <v>PRIORIDAD 1 Q3 2023 OCTUBRE</v>
      </c>
    </row>
    <row r="1040" ht="15.75" customHeight="1">
      <c r="A1040" s="19" t="str">
        <f>IFERROR(__xludf.DUMMYFUNCTION("""COMPUTED_VALUE"""),"AB_8157")</f>
        <v>AB_8157</v>
      </c>
      <c r="B1040" s="19" t="str">
        <f>IFERROR(__xludf.DUMMYFUNCTION("""COMPUTED_VALUE"""),"AB_8157_C")</f>
        <v>AB_8157_C</v>
      </c>
      <c r="C1040" s="19" t="str">
        <f>IFERROR(__xludf.DUMMYFUNCTION("""COMPUTED_VALUE"""),"VA8157")</f>
        <v>VA8157</v>
      </c>
      <c r="D1040" s="19" t="str">
        <f>IFERROR(__xludf.DUMMYFUNCTION("""COMPUTED_VALUE"""),"San José Algarrobo")</f>
        <v>San José Algarrobo</v>
      </c>
      <c r="E1040" s="19" t="str">
        <f>IFERROR(__xludf.DUMMYFUNCTION("""COMPUTED_VALUE"""),"SITIO RFI")</f>
        <v>SITIO RFI</v>
      </c>
      <c r="F1040" s="19" t="str">
        <f>IFERROR(__xludf.DUMMYFUNCTION("""COMPUTED_VALUE"""),"RFI")</f>
        <v>RFI</v>
      </c>
      <c r="G1040" s="19" t="str">
        <f>IFERROR(__xludf.DUMMYFUNCTION("""COMPUTED_VALUE"""),"AS60")</f>
        <v>AS60</v>
      </c>
      <c r="H1040" s="19" t="str">
        <f>IFERROR(__xludf.DUMMYFUNCTION("""COMPUTED_VALUE"""),"MT")</f>
        <v>MT</v>
      </c>
      <c r="I1040" s="19" t="str">
        <f>IFERROR(__xludf.DUMMYFUNCTION("""COMPUTED_VALUE"""),"Entregada")</f>
        <v>Entregada</v>
      </c>
      <c r="J1040" s="20">
        <f>IFERROR(__xludf.DUMMYFUNCTION("""COMPUTED_VALUE"""),44671.0)</f>
        <v>44671</v>
      </c>
      <c r="K1040" s="19" t="str">
        <f>IFERROR(__xludf.DUMMYFUNCTION("""COMPUTED_VALUE"""),"Entregada")</f>
        <v>Entregada</v>
      </c>
      <c r="L1040" s="20">
        <f>IFERROR(__xludf.DUMMYFUNCTION("""COMPUTED_VALUE"""),44746.0)</f>
        <v>44746</v>
      </c>
      <c r="M1040" s="19" t="str">
        <f>IFERROR(__xludf.DUMMYFUNCTION("""COMPUTED_VALUE"""),"PCM")</f>
        <v>PCM</v>
      </c>
      <c r="N1040" s="19" t="str">
        <f>IFERROR(__xludf.DUMMYFUNCTION("""COMPUTED_VALUE"""),"PRIORIDAD 1 Q3 2023 OCTUBRE")</f>
        <v>PRIORIDAD 1 Q3 2023 OCTUBRE</v>
      </c>
    </row>
    <row r="1041" ht="15.75" customHeight="1">
      <c r="A1041" s="19" t="str">
        <f>IFERROR(__xludf.DUMMYFUNCTION("""COMPUTED_VALUE"""),"AB_8159")</f>
        <v>AB_8159</v>
      </c>
      <c r="B1041" s="19" t="str">
        <f>IFERROR(__xludf.DUMMYFUNCTION("""COMPUTED_VALUE"""),"AB_8159_D")</f>
        <v>AB_8159_D</v>
      </c>
      <c r="C1041" s="19" t="str">
        <f>IFERROR(__xludf.DUMMYFUNCTION("""COMPUTED_VALUE"""),"VA8159")</f>
        <v>VA8159</v>
      </c>
      <c r="D1041" s="19" t="str">
        <f>IFERROR(__xludf.DUMMYFUNCTION("""COMPUTED_VALUE"""),"Enlace Las Pataguas")</f>
        <v>Enlace Las Pataguas</v>
      </c>
      <c r="E1041" s="19" t="str">
        <f>IFERROR(__xludf.DUMMYFUNCTION("""COMPUTED_VALUE"""),"SITIO RFI")</f>
        <v>SITIO RFI</v>
      </c>
      <c r="F1041" s="19" t="str">
        <f>IFERROR(__xludf.DUMMYFUNCTION("""COMPUTED_VALUE"""),"RFI")</f>
        <v>RFI</v>
      </c>
      <c r="G1041" s="19" t="str">
        <f>IFERROR(__xludf.DUMMYFUNCTION("""COMPUTED_VALUE"""),"CV60")</f>
        <v>CV60</v>
      </c>
      <c r="H1041" s="19" t="str">
        <f>IFERROR(__xludf.DUMMYFUNCTION("""COMPUTED_VALUE"""),"ADM")</f>
        <v>ADM</v>
      </c>
      <c r="I1041" s="19" t="str">
        <f>IFERROR(__xludf.DUMMYFUNCTION("""COMPUTED_VALUE"""),"Entregada")</f>
        <v>Entregada</v>
      </c>
      <c r="J1041" s="20">
        <f>IFERROR(__xludf.DUMMYFUNCTION("""COMPUTED_VALUE"""),44743.0)</f>
        <v>44743</v>
      </c>
      <c r="K1041" s="19" t="str">
        <f>IFERROR(__xludf.DUMMYFUNCTION("""COMPUTED_VALUE"""),"Entregada")</f>
        <v>Entregada</v>
      </c>
      <c r="L1041" s="20">
        <f>IFERROR(__xludf.DUMMYFUNCTION("""COMPUTED_VALUE"""),44862.0)</f>
        <v>44862</v>
      </c>
      <c r="M1041" s="19" t="str">
        <f>IFERROR(__xludf.DUMMYFUNCTION("""COMPUTED_VALUE"""),"PCM")</f>
        <v>PCM</v>
      </c>
      <c r="N1041" s="19" t="str">
        <f>IFERROR(__xludf.DUMMYFUNCTION("""COMPUTED_VALUE"""),"PRIORIDAD 1 Q3 2023 OCTUBRE")</f>
        <v>PRIORIDAD 1 Q3 2023 OCTUBRE</v>
      </c>
    </row>
    <row r="1042" ht="15.75" customHeight="1">
      <c r="A1042" s="19" t="str">
        <f>IFERROR(__xludf.DUMMYFUNCTION("""COMPUTED_VALUE"""),"AB_8163")</f>
        <v>AB_8163</v>
      </c>
      <c r="B1042" s="19" t="str">
        <f>IFERROR(__xludf.DUMMYFUNCTION("""COMPUTED_VALUE"""),"AB_8163_A")</f>
        <v>AB_8163_A</v>
      </c>
      <c r="C1042" s="19" t="str">
        <f>IFERROR(__xludf.DUMMYFUNCTION("""COMPUTED_VALUE"""),"VA8163")</f>
        <v>VA8163</v>
      </c>
      <c r="D1042" s="19" t="str">
        <f>IFERROR(__xludf.DUMMYFUNCTION("""COMPUTED_VALUE"""),"Camino del Gas")</f>
        <v>Camino del Gas</v>
      </c>
      <c r="E1042" s="19" t="str">
        <f>IFERROR(__xludf.DUMMYFUNCTION("""COMPUTED_VALUE"""),"SITIO RFI")</f>
        <v>SITIO RFI</v>
      </c>
      <c r="F1042" s="19" t="str">
        <f>IFERROR(__xludf.DUMMYFUNCTION("""COMPUTED_VALUE"""),"RFI")</f>
        <v>RFI</v>
      </c>
      <c r="G1042" s="19" t="str">
        <f>IFERROR(__xludf.DUMMYFUNCTION("""COMPUTED_VALUE"""),"AS42")</f>
        <v>AS42</v>
      </c>
      <c r="H1042" s="19" t="str">
        <f>IFERROR(__xludf.DUMMYFUNCTION("""COMPUTED_VALUE"""),"DEITEL")</f>
        <v>DEITEL</v>
      </c>
      <c r="I1042" s="19" t="str">
        <f>IFERROR(__xludf.DUMMYFUNCTION("""COMPUTED_VALUE"""),"Entregada")</f>
        <v>Entregada</v>
      </c>
      <c r="J1042" s="20">
        <f>IFERROR(__xludf.DUMMYFUNCTION("""COMPUTED_VALUE"""),44672.0)</f>
        <v>44672</v>
      </c>
      <c r="K1042" s="19" t="str">
        <f>IFERROR(__xludf.DUMMYFUNCTION("""COMPUTED_VALUE"""),"Entregada")</f>
        <v>Entregada</v>
      </c>
      <c r="L1042" s="20">
        <f>IFERROR(__xludf.DUMMYFUNCTION("""COMPUTED_VALUE"""),44720.0)</f>
        <v>44720</v>
      </c>
      <c r="M1042" s="19" t="str">
        <f>IFERROR(__xludf.DUMMYFUNCTION("""COMPUTED_VALUE"""),"PCM")</f>
        <v>PCM</v>
      </c>
      <c r="N1042" s="19" t="str">
        <f>IFERROR(__xludf.DUMMYFUNCTION("""COMPUTED_VALUE"""),"PRIORIDAD 1 Q3 2023 OCTUBRE")</f>
        <v>PRIORIDAD 1 Q3 2023 OCTUBRE</v>
      </c>
    </row>
    <row r="1043" ht="15.75" customHeight="1">
      <c r="A1043" s="19" t="str">
        <f>IFERROR(__xludf.DUMMYFUNCTION("""COMPUTED_VALUE"""),"AB_8370")</f>
        <v>AB_8370</v>
      </c>
      <c r="B1043" s="19" t="str">
        <f>IFERROR(__xludf.DUMMYFUNCTION("""COMPUTED_VALUE"""),"AB_8370_G")</f>
        <v>AB_8370_G</v>
      </c>
      <c r="C1043" s="19" t="str">
        <f>IFERROR(__xludf.DUMMYFUNCTION("""COMPUTED_VALUE"""),"VA8370")</f>
        <v>VA8370</v>
      </c>
      <c r="D1043" s="19" t="str">
        <f>IFERROR(__xludf.DUMMYFUNCTION("""COMPUTED_VALUE"""),"Longotoma Pueblo")</f>
        <v>Longotoma Pueblo</v>
      </c>
      <c r="E1043" s="19" t="str">
        <f>IFERROR(__xludf.DUMMYFUNCTION("""COMPUTED_VALUE"""),"SITIO RFI")</f>
        <v>SITIO RFI</v>
      </c>
      <c r="F1043" s="19" t="str">
        <f>IFERROR(__xludf.DUMMYFUNCTION("""COMPUTED_VALUE"""),"RFI")</f>
        <v>RFI</v>
      </c>
      <c r="G1043" s="19" t="str">
        <f>IFERROR(__xludf.DUMMYFUNCTION("""COMPUTED_VALUE"""),"AS42")</f>
        <v>AS42</v>
      </c>
      <c r="H1043" s="19" t="str">
        <f>IFERROR(__xludf.DUMMYFUNCTION("""COMPUTED_VALUE"""),"DEITEL")</f>
        <v>DEITEL</v>
      </c>
      <c r="I1043" s="19" t="str">
        <f>IFERROR(__xludf.DUMMYFUNCTION("""COMPUTED_VALUE"""),"Entregada")</f>
        <v>Entregada</v>
      </c>
      <c r="J1043" s="20">
        <f>IFERROR(__xludf.DUMMYFUNCTION("""COMPUTED_VALUE"""),44705.0)</f>
        <v>44705</v>
      </c>
      <c r="K1043" s="19" t="str">
        <f>IFERROR(__xludf.DUMMYFUNCTION("""COMPUTED_VALUE"""),"Entregada")</f>
        <v>Entregada</v>
      </c>
      <c r="L1043" s="20">
        <f>IFERROR(__xludf.DUMMYFUNCTION("""COMPUTED_VALUE"""),44734.0)</f>
        <v>44734</v>
      </c>
      <c r="M1043" s="19" t="str">
        <f>IFERROR(__xludf.DUMMYFUNCTION("""COMPUTED_VALUE"""),"PCM")</f>
        <v>PCM</v>
      </c>
      <c r="N1043" s="19" t="str">
        <f>IFERROR(__xludf.DUMMYFUNCTION("""COMPUTED_VALUE"""),"PRIORIDAD 1 Q3 2023 OCTUBRE")</f>
        <v>PRIORIDAD 1 Q3 2023 OCTUBRE</v>
      </c>
    </row>
    <row r="1044" ht="15.75" customHeight="1">
      <c r="A1044" s="19" t="str">
        <f>IFERROR(__xludf.DUMMYFUNCTION("""COMPUTED_VALUE"""),"AB_9050")</f>
        <v>AB_9050</v>
      </c>
      <c r="B1044" s="19" t="str">
        <f>IFERROR(__xludf.DUMMYFUNCTION("""COMPUTED_VALUE"""),"AB_9050_C")</f>
        <v>AB_9050_C</v>
      </c>
      <c r="C1044" s="19" t="str">
        <f>IFERROR(__xludf.DUMMYFUNCTION("""COMPUTED_VALUE"""),"VA9050")</f>
        <v>VA9050</v>
      </c>
      <c r="D1044" s="19" t="str">
        <f>IFERROR(__xludf.DUMMYFUNCTION("""COMPUTED_VALUE"""),"Cerro El Venado Calle Larga")</f>
        <v>Cerro El Venado Calle Larga</v>
      </c>
      <c r="E1044" s="19" t="str">
        <f>IFERROR(__xludf.DUMMYFUNCTION("""COMPUTED_VALUE"""),"SITIO RFI")</f>
        <v>SITIO RFI</v>
      </c>
      <c r="F1044" s="19" t="str">
        <f>IFERROR(__xludf.DUMMYFUNCTION("""COMPUTED_VALUE"""),"HORMIGONADO")</f>
        <v>HORMIGONADO</v>
      </c>
      <c r="G1044" s="19" t="str">
        <f>IFERROR(__xludf.DUMMYFUNCTION("""COMPUTED_VALUE"""),"CV60")</f>
        <v>CV60</v>
      </c>
      <c r="H1044" s="19" t="str">
        <f>IFERROR(__xludf.DUMMYFUNCTION("""COMPUTED_VALUE"""),"DEPROMET")</f>
        <v>DEPROMET</v>
      </c>
      <c r="I1044" s="19" t="str">
        <f>IFERROR(__xludf.DUMMYFUNCTION("""COMPUTED_VALUE"""),"Entregada")</f>
        <v>Entregada</v>
      </c>
      <c r="J1044" s="20">
        <f>IFERROR(__xludf.DUMMYFUNCTION("""COMPUTED_VALUE"""),44886.0)</f>
        <v>44886</v>
      </c>
      <c r="K1044" s="19" t="str">
        <f>IFERROR(__xludf.DUMMYFUNCTION("""COMPUTED_VALUE"""),"Entregada")</f>
        <v>Entregada</v>
      </c>
      <c r="L1044" s="20">
        <f>IFERROR(__xludf.DUMMYFUNCTION("""COMPUTED_VALUE"""),44911.0)</f>
        <v>44911</v>
      </c>
      <c r="M1044" s="19" t="str">
        <f>IFERROR(__xludf.DUMMYFUNCTION("""COMPUTED_VALUE"""),"PCM")</f>
        <v>PCM</v>
      </c>
      <c r="N1044" s="19" t="str">
        <f>IFERROR(__xludf.DUMMYFUNCTION("""COMPUTED_VALUE"""),"PRIORIDAD 1 Q3 2023 OCTUBRE")</f>
        <v>PRIORIDAD 1 Q3 2023 OCTUBRE</v>
      </c>
    </row>
    <row r="1045" ht="15.75" customHeight="1">
      <c r="A1045" s="19" t="str">
        <f>IFERROR(__xludf.DUMMYFUNCTION("""COMPUTED_VALUE"""),"AB_9054")</f>
        <v>AB_9054</v>
      </c>
      <c r="B1045" s="19" t="str">
        <f>IFERROR(__xludf.DUMMYFUNCTION("""COMPUTED_VALUE"""),"AB_9054_B")</f>
        <v>AB_9054_B</v>
      </c>
      <c r="C1045" s="19" t="str">
        <f>IFERROR(__xludf.DUMMYFUNCTION("""COMPUTED_VALUE"""),"VA9054")</f>
        <v>VA9054</v>
      </c>
      <c r="D1045" s="19" t="str">
        <f>IFERROR(__xludf.DUMMYFUNCTION("""COMPUTED_VALUE"""),"Palomar de Panquehue")</f>
        <v>Palomar de Panquehue</v>
      </c>
      <c r="E1045" s="19" t="str">
        <f>IFERROR(__xludf.DUMMYFUNCTION("""COMPUTED_VALUE"""),"SITIO RFI")</f>
        <v>SITIO RFI</v>
      </c>
      <c r="F1045" s="19" t="str">
        <f>IFERROR(__xludf.DUMMYFUNCTION("""COMPUTED_VALUE"""),"RFI")</f>
        <v>RFI</v>
      </c>
      <c r="G1045" s="19" t="str">
        <f>IFERROR(__xludf.DUMMYFUNCTION("""COMPUTED_VALUE"""),"MP48")</f>
        <v>MP48</v>
      </c>
      <c r="H1045" s="19" t="str">
        <f>IFERROR(__xludf.DUMMYFUNCTION("""COMPUTED_VALUE"""),"MER")</f>
        <v>MER</v>
      </c>
      <c r="I1045" s="19" t="str">
        <f>IFERROR(__xludf.DUMMYFUNCTION("""COMPUTED_VALUE"""),"Entregada")</f>
        <v>Entregada</v>
      </c>
      <c r="J1045" s="20">
        <f>IFERROR(__xludf.DUMMYFUNCTION("""COMPUTED_VALUE"""),44697.0)</f>
        <v>44697</v>
      </c>
      <c r="K1045" s="19" t="str">
        <f>IFERROR(__xludf.DUMMYFUNCTION("""COMPUTED_VALUE"""),"Entregada")</f>
        <v>Entregada</v>
      </c>
      <c r="L1045" s="20">
        <f>IFERROR(__xludf.DUMMYFUNCTION("""COMPUTED_VALUE"""),44714.0)</f>
        <v>44714</v>
      </c>
      <c r="M1045" s="19" t="str">
        <f>IFERROR(__xludf.DUMMYFUNCTION("""COMPUTED_VALUE"""),"PCM")</f>
        <v>PCM</v>
      </c>
      <c r="N1045" s="19" t="str">
        <f>IFERROR(__xludf.DUMMYFUNCTION("""COMPUTED_VALUE"""),"PRIORIDAD 1 Q3 2023 OCTUBRE")</f>
        <v>PRIORIDAD 1 Q3 2023 OCTUBRE</v>
      </c>
    </row>
    <row r="1046" ht="15.75" customHeight="1">
      <c r="A1046" s="19" t="str">
        <f>IFERROR(__xludf.DUMMYFUNCTION("""COMPUTED_VALUE"""),"AB_9062")</f>
        <v>AB_9062</v>
      </c>
      <c r="B1046" s="19" t="str">
        <f>IFERROR(__xludf.DUMMYFUNCTION("""COMPUTED_VALUE"""),"AB_9062_A")</f>
        <v>AB_9062_A</v>
      </c>
      <c r="C1046" s="19" t="str">
        <f>IFERROR(__xludf.DUMMYFUNCTION("""COMPUTED_VALUE"""),"VA9062")</f>
        <v>VA9062</v>
      </c>
      <c r="D1046" s="19" t="str">
        <f>IFERROR(__xludf.DUMMYFUNCTION("""COMPUTED_VALUE"""),"Los Molinos Cabildo")</f>
        <v>Los Molinos Cabildo</v>
      </c>
      <c r="E1046" s="19" t="str">
        <f>IFERROR(__xludf.DUMMYFUNCTION("""COMPUTED_VALUE"""),"SITIO RFI")</f>
        <v>SITIO RFI</v>
      </c>
      <c r="F1046" s="19" t="str">
        <f>IFERROR(__xludf.DUMMYFUNCTION("""COMPUTED_VALUE"""),"RFI")</f>
        <v>RFI</v>
      </c>
      <c r="G1046" s="19" t="str">
        <f>IFERROR(__xludf.DUMMYFUNCTION("""COMPUTED_VALUE"""),"CV48")</f>
        <v>CV48</v>
      </c>
      <c r="H1046" s="19" t="str">
        <f>IFERROR(__xludf.DUMMYFUNCTION("""COMPUTED_VALUE"""),"MT")</f>
        <v>MT</v>
      </c>
      <c r="I1046" s="19" t="str">
        <f>IFERROR(__xludf.DUMMYFUNCTION("""COMPUTED_VALUE"""),"Entregada")</f>
        <v>Entregada</v>
      </c>
      <c r="J1046" s="20">
        <f>IFERROR(__xludf.DUMMYFUNCTION("""COMPUTED_VALUE"""),44671.0)</f>
        <v>44671</v>
      </c>
      <c r="K1046" s="19" t="str">
        <f>IFERROR(__xludf.DUMMYFUNCTION("""COMPUTED_VALUE"""),"Entregada")</f>
        <v>Entregada</v>
      </c>
      <c r="L1046" s="20">
        <f>IFERROR(__xludf.DUMMYFUNCTION("""COMPUTED_VALUE"""),44671.0)</f>
        <v>44671</v>
      </c>
      <c r="M1046" s="19" t="str">
        <f>IFERROR(__xludf.DUMMYFUNCTION("""COMPUTED_VALUE"""),"PCM")</f>
        <v>PCM</v>
      </c>
      <c r="N1046" s="19" t="str">
        <f>IFERROR(__xludf.DUMMYFUNCTION("""COMPUTED_VALUE"""),"PRIORIDAD 1 Q3 2023 OCTUBRE")</f>
        <v>PRIORIDAD 1 Q3 2023 OCTUBRE</v>
      </c>
    </row>
    <row r="1047" ht="15.75" customHeight="1">
      <c r="A1047" s="19" t="str">
        <f>IFERROR(__xludf.DUMMYFUNCTION("""COMPUTED_VALUE"""),"AB_9063")</f>
        <v>AB_9063</v>
      </c>
      <c r="B1047" s="19" t="str">
        <f>IFERROR(__xludf.DUMMYFUNCTION("""COMPUTED_VALUE"""),"AB_9063_D")</f>
        <v>AB_9063_D</v>
      </c>
      <c r="C1047" s="19" t="str">
        <f>IFERROR(__xludf.DUMMYFUNCTION("""COMPUTED_VALUE"""),"VA9063")</f>
        <v>VA9063</v>
      </c>
      <c r="D1047" s="19" t="str">
        <f>IFERROR(__xludf.DUMMYFUNCTION("""COMPUTED_VALUE"""),"Hacienda Rinconada de Los Andes")</f>
        <v>Hacienda Rinconada de Los Andes</v>
      </c>
      <c r="E1047" s="19" t="str">
        <f>IFERROR(__xludf.DUMMYFUNCTION("""COMPUTED_VALUE"""),"SITIO RFI")</f>
        <v>SITIO RFI</v>
      </c>
      <c r="F1047" s="19" t="str">
        <f>IFERROR(__xludf.DUMMYFUNCTION("""COMPUTED_VALUE"""),"RFI")</f>
        <v>RFI</v>
      </c>
      <c r="G1047" s="19" t="str">
        <f>IFERROR(__xludf.DUMMYFUNCTION("""COMPUTED_VALUE"""),"CV42")</f>
        <v>CV42</v>
      </c>
      <c r="H1047" s="19" t="str">
        <f>IFERROR(__xludf.DUMMYFUNCTION("""COMPUTED_VALUE"""),"DEPROMET")</f>
        <v>DEPROMET</v>
      </c>
      <c r="I1047" s="19" t="str">
        <f>IFERROR(__xludf.DUMMYFUNCTION("""COMPUTED_VALUE"""),"Entregada")</f>
        <v>Entregada</v>
      </c>
      <c r="J1047" s="20">
        <f>IFERROR(__xludf.DUMMYFUNCTION("""COMPUTED_VALUE"""),44764.0)</f>
        <v>44764</v>
      </c>
      <c r="K1047" s="19" t="str">
        <f>IFERROR(__xludf.DUMMYFUNCTION("""COMPUTED_VALUE"""),"Entregada")</f>
        <v>Entregada</v>
      </c>
      <c r="L1047" s="20">
        <f>IFERROR(__xludf.DUMMYFUNCTION("""COMPUTED_VALUE"""),44771.0)</f>
        <v>44771</v>
      </c>
      <c r="M1047" s="19" t="str">
        <f>IFERROR(__xludf.DUMMYFUNCTION("""COMPUTED_VALUE"""),"PCM")</f>
        <v>PCM</v>
      </c>
      <c r="N1047" s="19" t="str">
        <f>IFERROR(__xludf.DUMMYFUNCTION("""COMPUTED_VALUE"""),"PRIORIDAD 1 Q3 2023 OCTUBRE")</f>
        <v>PRIORIDAD 1 Q3 2023 OCTUBRE</v>
      </c>
    </row>
    <row r="1048" ht="15.75" customHeight="1">
      <c r="A1048" s="19" t="str">
        <f>IFERROR(__xludf.DUMMYFUNCTION("""COMPUTED_VALUE"""),"AB_9068")</f>
        <v>AB_9068</v>
      </c>
      <c r="B1048" s="19" t="str">
        <f>IFERROR(__xludf.DUMMYFUNCTION("""COMPUTED_VALUE"""),"AB_9068_A")</f>
        <v>AB_9068_A</v>
      </c>
      <c r="C1048" s="19" t="str">
        <f>IFERROR(__xludf.DUMMYFUNCTION("""COMPUTED_VALUE"""),"VA9068")</f>
        <v>VA9068</v>
      </c>
      <c r="D1048" s="19" t="str">
        <f>IFERROR(__xludf.DUMMYFUNCTION("""COMPUTED_VALUE"""),"Ruta E-795")</f>
        <v>Ruta E-795</v>
      </c>
      <c r="E1048" s="19" t="str">
        <f>IFERROR(__xludf.DUMMYFUNCTION("""COMPUTED_VALUE"""),"SITIO RFI")</f>
        <v>SITIO RFI</v>
      </c>
      <c r="F1048" s="19" t="str">
        <f>IFERROR(__xludf.DUMMYFUNCTION("""COMPUTED_VALUE"""),"RFI")</f>
        <v>RFI</v>
      </c>
      <c r="G1048" s="19" t="str">
        <f>IFERROR(__xludf.DUMMYFUNCTION("""COMPUTED_VALUE"""),"AS36")</f>
        <v>AS36</v>
      </c>
      <c r="H1048" s="19" t="str">
        <f>IFERROR(__xludf.DUMMYFUNCTION("""COMPUTED_VALUE"""),"MER")</f>
        <v>MER</v>
      </c>
      <c r="I1048" s="19" t="str">
        <f>IFERROR(__xludf.DUMMYFUNCTION("""COMPUTED_VALUE"""),"Entregada")</f>
        <v>Entregada</v>
      </c>
      <c r="J1048" s="20">
        <f>IFERROR(__xludf.DUMMYFUNCTION("""COMPUTED_VALUE"""),44703.0)</f>
        <v>44703</v>
      </c>
      <c r="K1048" s="19" t="str">
        <f>IFERROR(__xludf.DUMMYFUNCTION("""COMPUTED_VALUE"""),"Entregada")</f>
        <v>Entregada</v>
      </c>
      <c r="L1048" s="20">
        <f>IFERROR(__xludf.DUMMYFUNCTION("""COMPUTED_VALUE"""),44771.0)</f>
        <v>44771</v>
      </c>
      <c r="M1048" s="19" t="str">
        <f>IFERROR(__xludf.DUMMYFUNCTION("""COMPUTED_VALUE"""),"PCM")</f>
        <v>PCM</v>
      </c>
      <c r="N1048" s="19" t="str">
        <f>IFERROR(__xludf.DUMMYFUNCTION("""COMPUTED_VALUE"""),"PRIORIDAD 1 Q3 2023 OCTUBRE")</f>
        <v>PRIORIDAD 1 Q3 2023 OCTUBRE</v>
      </c>
    </row>
    <row r="1049" ht="15.75" customHeight="1">
      <c r="A1049" s="19" t="str">
        <f>IFERROR(__xludf.DUMMYFUNCTION("""COMPUTED_VALUE"""),"AB_9091")</f>
        <v>AB_9091</v>
      </c>
      <c r="B1049" s="19" t="str">
        <f>IFERROR(__xludf.DUMMYFUNCTION("""COMPUTED_VALUE"""),"AB_9091_B")</f>
        <v>AB_9091_B</v>
      </c>
      <c r="C1049" s="19" t="str">
        <f>IFERROR(__xludf.DUMMYFUNCTION("""COMPUTED_VALUE"""),"VA9091")</f>
        <v>VA9091</v>
      </c>
      <c r="D1049" s="19" t="str">
        <f>IFERROR(__xludf.DUMMYFUNCTION("""COMPUTED_VALUE"""),"Pachacama")</f>
        <v>Pachacama</v>
      </c>
      <c r="E1049" s="19" t="str">
        <f>IFERROR(__xludf.DUMMYFUNCTION("""COMPUTED_VALUE"""),"SITIO EN CONSTRUCCION")</f>
        <v>SITIO EN CONSTRUCCION</v>
      </c>
      <c r="F1049" s="19" t="str">
        <f>IFERROR(__xludf.DUMMYFUNCTION("""COMPUTED_VALUE"""),"MONTAJE")</f>
        <v>MONTAJE</v>
      </c>
      <c r="G1049" s="19" t="str">
        <f>IFERROR(__xludf.DUMMYFUNCTION("""COMPUTED_VALUE"""),"CV30")</f>
        <v>CV30</v>
      </c>
      <c r="H1049" s="19" t="str">
        <f>IFERROR(__xludf.DUMMYFUNCTION("""COMPUTED_VALUE"""),"SYC")</f>
        <v>SYC</v>
      </c>
      <c r="I1049" s="19" t="str">
        <f>IFERROR(__xludf.DUMMYFUNCTION("""COMPUTED_VALUE"""),"Entregada")</f>
        <v>Entregada</v>
      </c>
      <c r="J1049" s="20">
        <f>IFERROR(__xludf.DUMMYFUNCTION("""COMPUTED_VALUE"""),44687.0)</f>
        <v>44687</v>
      </c>
      <c r="K1049" s="19" t="str">
        <f>IFERROR(__xludf.DUMMYFUNCTION("""COMPUTED_VALUE"""),"Entregada")</f>
        <v>Entregada</v>
      </c>
      <c r="L1049" s="20">
        <f>IFERROR(__xludf.DUMMYFUNCTION("""COMPUTED_VALUE"""),44816.0)</f>
        <v>44816</v>
      </c>
      <c r="M1049" s="19" t="str">
        <f>IFERROR(__xludf.DUMMYFUNCTION("""COMPUTED_VALUE"""),"PCM")</f>
        <v>PCM</v>
      </c>
      <c r="N1049" s="19" t="str">
        <f>IFERROR(__xludf.DUMMYFUNCTION("""COMPUTED_VALUE"""),"PRIORIDAD 1 Q3 2023 OCTUBRE")</f>
        <v>PRIORIDAD 1 Q3 2023 OCTUBRE</v>
      </c>
    </row>
    <row r="1050" ht="15.75" customHeight="1">
      <c r="A1050" s="19" t="str">
        <f>IFERROR(__xludf.DUMMYFUNCTION("""COMPUTED_VALUE"""),"AB_9377")</f>
        <v>AB_9377</v>
      </c>
      <c r="B1050" s="19" t="str">
        <f>IFERROR(__xludf.DUMMYFUNCTION("""COMPUTED_VALUE"""),"AB_9377_A")</f>
        <v>AB_9377_A</v>
      </c>
      <c r="C1050" s="19" t="str">
        <f>IFERROR(__xludf.DUMMYFUNCTION("""COMPUTED_VALUE"""),"VA9377")</f>
        <v>VA9377</v>
      </c>
      <c r="D1050" s="19" t="str">
        <f>IFERROR(__xludf.DUMMYFUNCTION("""COMPUTED_VALUE"""),"CIC Isla de Pascua")</f>
        <v>CIC Isla de Pascua</v>
      </c>
      <c r="E1050" s="19" t="str">
        <f>IFERROR(__xludf.DUMMYFUNCTION("""COMPUTED_VALUE"""),"SITIO PENDIENTE")</f>
        <v>SITIO PENDIENTE</v>
      </c>
      <c r="F1050" s="19"/>
      <c r="G1050" s="19" t="str">
        <f>IFERROR(__xludf.DUMMYFUNCTION("""COMPUTED_VALUE"""),"x")</f>
        <v>x</v>
      </c>
      <c r="H1050" s="19" t="str">
        <f>IFERROR(__xludf.DUMMYFUNCTION("""COMPUTED_VALUE"""),"x")</f>
        <v>x</v>
      </c>
      <c r="I1050" s="19" t="str">
        <f>IFERROR(__xludf.DUMMYFUNCTION("""COMPUTED_VALUE"""),"x")</f>
        <v>x</v>
      </c>
      <c r="J1050" s="20" t="str">
        <f>IFERROR(__xludf.DUMMYFUNCTION("""COMPUTED_VALUE"""),"x")</f>
        <v>x</v>
      </c>
      <c r="K1050" s="19" t="str">
        <f>IFERROR(__xludf.DUMMYFUNCTION("""COMPUTED_VALUE"""),"x")</f>
        <v>x</v>
      </c>
      <c r="L1050" s="20" t="str">
        <f>IFERROR(__xludf.DUMMYFUNCTION("""COMPUTED_VALUE"""),"x")</f>
        <v>x</v>
      </c>
      <c r="M1050" s="19" t="str">
        <f>IFERROR(__xludf.DUMMYFUNCTION("""COMPUTED_VALUE"""),"PCM")</f>
        <v>PCM</v>
      </c>
      <c r="N1050" s="19" t="str">
        <f>IFERROR(__xludf.DUMMYFUNCTION("""COMPUTED_VALUE"""),"PRIORIDAD 3 Q1 2024 MARZO")</f>
        <v>PRIORIDAD 3 Q1 2024 MARZO</v>
      </c>
    </row>
    <row r="1051" ht="15.75" customHeight="1">
      <c r="A1051" s="19" t="str">
        <f>IFERROR(__xludf.DUMMYFUNCTION("""COMPUTED_VALUE"""),"AB_9378")</f>
        <v>AB_9378</v>
      </c>
      <c r="B1051" s="19" t="str">
        <f>IFERROR(__xludf.DUMMYFUNCTION("""COMPUTED_VALUE"""),"AB_9378_D")</f>
        <v>AB_9378_D</v>
      </c>
      <c r="C1051" s="19" t="str">
        <f>IFERROR(__xludf.DUMMYFUNCTION("""COMPUTED_VALUE"""),"VA9378")</f>
        <v>VA9378</v>
      </c>
      <c r="D1051" s="19" t="str">
        <f>IFERROR(__xludf.DUMMYFUNCTION("""COMPUTED_VALUE"""),"Nuevo Milenio Concon")</f>
        <v>Nuevo Milenio Concon</v>
      </c>
      <c r="E1051" s="19" t="str">
        <f>IFERROR(__xludf.DUMMYFUNCTION("""COMPUTED_VALUE"""),"SITIO RFI")</f>
        <v>SITIO RFI</v>
      </c>
      <c r="F1051" s="19" t="str">
        <f>IFERROR(__xludf.DUMMYFUNCTION("""COMPUTED_VALUE"""),"RFI")</f>
        <v>RFI</v>
      </c>
      <c r="G1051" s="19" t="str">
        <f>IFERROR(__xludf.DUMMYFUNCTION("""COMPUTED_VALUE"""),"AS42")</f>
        <v>AS42</v>
      </c>
      <c r="H1051" s="19" t="str">
        <f>IFERROR(__xludf.DUMMYFUNCTION("""COMPUTED_VALUE"""),"DEITEL")</f>
        <v>DEITEL</v>
      </c>
      <c r="I1051" s="19" t="str">
        <f>IFERROR(__xludf.DUMMYFUNCTION("""COMPUTED_VALUE"""),"Entregada")</f>
        <v>Entregada</v>
      </c>
      <c r="J1051" s="20">
        <f>IFERROR(__xludf.DUMMYFUNCTION("""COMPUTED_VALUE"""),44581.0)</f>
        <v>44581</v>
      </c>
      <c r="K1051" s="19" t="str">
        <f>IFERROR(__xludf.DUMMYFUNCTION("""COMPUTED_VALUE"""),"Entregada")</f>
        <v>Entregada</v>
      </c>
      <c r="L1051" s="20">
        <f>IFERROR(__xludf.DUMMYFUNCTION("""COMPUTED_VALUE"""),44576.0)</f>
        <v>44576</v>
      </c>
      <c r="M1051" s="19" t="str">
        <f>IFERROR(__xludf.DUMMYFUNCTION("""COMPUTED_VALUE"""),"PCM")</f>
        <v>PCM</v>
      </c>
      <c r="N1051" s="19" t="str">
        <f>IFERROR(__xludf.DUMMYFUNCTION("""COMPUTED_VALUE"""),"PRIORIDAD 1 Q3 2023 OCTUBRE")</f>
        <v>PRIORIDAD 1 Q3 2023 OCTUBRE</v>
      </c>
    </row>
    <row r="1052" ht="15.75" customHeight="1">
      <c r="A1052" s="19" t="str">
        <f>IFERROR(__xludf.DUMMYFUNCTION("""COMPUTED_VALUE"""),"AB_9379")</f>
        <v>AB_9379</v>
      </c>
      <c r="B1052" s="19" t="str">
        <f>IFERROR(__xludf.DUMMYFUNCTION("""COMPUTED_VALUE"""),"AB_9379_C")</f>
        <v>AB_9379_C</v>
      </c>
      <c r="C1052" s="19" t="str">
        <f>IFERROR(__xludf.DUMMYFUNCTION("""COMPUTED_VALUE"""),"VA9379")</f>
        <v>VA9379</v>
      </c>
      <c r="D1052" s="19" t="str">
        <f>IFERROR(__xludf.DUMMYFUNCTION("""COMPUTED_VALUE"""),"Portal del Mar Concon")</f>
        <v>Portal del Mar Concon</v>
      </c>
      <c r="E1052" s="19" t="str">
        <f>IFERROR(__xludf.DUMMYFUNCTION("""COMPUTED_VALUE"""),"SITIO RFI")</f>
        <v>SITIO RFI</v>
      </c>
      <c r="F1052" s="19" t="str">
        <f>IFERROR(__xludf.DUMMYFUNCTION("""COMPUTED_VALUE"""),"RFI")</f>
        <v>RFI</v>
      </c>
      <c r="G1052" s="19" t="str">
        <f>IFERROR(__xludf.DUMMYFUNCTION("""COMPUTED_VALUE"""),"AS24")</f>
        <v>AS24</v>
      </c>
      <c r="H1052" s="19" t="str">
        <f>IFERROR(__xludf.DUMMYFUNCTION("""COMPUTED_VALUE"""),"JBDUBO")</f>
        <v>JBDUBO</v>
      </c>
      <c r="I1052" s="19" t="str">
        <f>IFERROR(__xludf.DUMMYFUNCTION("""COMPUTED_VALUE"""),"Entregada")</f>
        <v>Entregada</v>
      </c>
      <c r="J1052" s="20">
        <f>IFERROR(__xludf.DUMMYFUNCTION("""COMPUTED_VALUE"""),44589.0)</f>
        <v>44589</v>
      </c>
      <c r="K1052" s="19" t="str">
        <f>IFERROR(__xludf.DUMMYFUNCTION("""COMPUTED_VALUE"""),"Entregada")</f>
        <v>Entregada</v>
      </c>
      <c r="L1052" s="20">
        <f>IFERROR(__xludf.DUMMYFUNCTION("""COMPUTED_VALUE"""),44718.0)</f>
        <v>44718</v>
      </c>
      <c r="M1052" s="19" t="str">
        <f>IFERROR(__xludf.DUMMYFUNCTION("""COMPUTED_VALUE"""),"PCM")</f>
        <v>PCM</v>
      </c>
      <c r="N1052" s="19" t="str">
        <f>IFERROR(__xludf.DUMMYFUNCTION("""COMPUTED_VALUE"""),"PRIORIDAD 1 Q3 2023 OCTUBRE")</f>
        <v>PRIORIDAD 1 Q3 2023 OCTUBRE</v>
      </c>
    </row>
    <row r="1053" ht="15.75" customHeight="1">
      <c r="A1053" s="19" t="str">
        <f>IFERROR(__xludf.DUMMYFUNCTION("""COMPUTED_VALUE"""),"AB_9380")</f>
        <v>AB_9380</v>
      </c>
      <c r="B1053" s="19" t="str">
        <f>IFERROR(__xludf.DUMMYFUNCTION("""COMPUTED_VALUE"""),"AB_9380_A")</f>
        <v>AB_9380_A</v>
      </c>
      <c r="C1053" s="19" t="str">
        <f>IFERROR(__xludf.DUMMYFUNCTION("""COMPUTED_VALUE"""),"VA9380")</f>
        <v>VA9380</v>
      </c>
      <c r="D1053" s="19" t="str">
        <f>IFERROR(__xludf.DUMMYFUNCTION("""COMPUTED_VALUE"""),"Valle Lo Moscoso")</f>
        <v>Valle Lo Moscoso</v>
      </c>
      <c r="E1053" s="19" t="str">
        <f>IFERROR(__xludf.DUMMYFUNCTION("""COMPUTED_VALUE"""),"SITIO RFI")</f>
        <v>SITIO RFI</v>
      </c>
      <c r="F1053" s="19" t="str">
        <f>IFERROR(__xludf.DUMMYFUNCTION("""COMPUTED_VALUE"""),"RFI")</f>
        <v>RFI</v>
      </c>
      <c r="G1053" s="19" t="str">
        <f>IFERROR(__xludf.DUMMYFUNCTION("""COMPUTED_VALUE"""),"CV60")</f>
        <v>CV60</v>
      </c>
      <c r="H1053" s="19" t="str">
        <f>IFERROR(__xludf.DUMMYFUNCTION("""COMPUTED_VALUE"""),"DEPROMET")</f>
        <v>DEPROMET</v>
      </c>
      <c r="I1053" s="19" t="str">
        <f>IFERROR(__xludf.DUMMYFUNCTION("""COMPUTED_VALUE"""),"Entregada")</f>
        <v>Entregada</v>
      </c>
      <c r="J1053" s="20">
        <f>IFERROR(__xludf.DUMMYFUNCTION("""COMPUTED_VALUE"""),44708.0)</f>
        <v>44708</v>
      </c>
      <c r="K1053" s="19" t="str">
        <f>IFERROR(__xludf.DUMMYFUNCTION("""COMPUTED_VALUE"""),"Entregada")</f>
        <v>Entregada</v>
      </c>
      <c r="L1053" s="20">
        <f>IFERROR(__xludf.DUMMYFUNCTION("""COMPUTED_VALUE"""),44764.0)</f>
        <v>44764</v>
      </c>
      <c r="M1053" s="19" t="str">
        <f>IFERROR(__xludf.DUMMYFUNCTION("""COMPUTED_VALUE"""),"PCM")</f>
        <v>PCM</v>
      </c>
      <c r="N1053" s="19" t="str">
        <f>IFERROR(__xludf.DUMMYFUNCTION("""COMPUTED_VALUE"""),"PRIORIDAD 1 Q3 2023 OCTUBRE")</f>
        <v>PRIORIDAD 1 Q3 2023 OCTUBRE</v>
      </c>
    </row>
    <row r="1054" ht="15.75" customHeight="1">
      <c r="A1054" s="19" t="str">
        <f>IFERROR(__xludf.DUMMYFUNCTION("""COMPUTED_VALUE"""),"AB_9410")</f>
        <v>AB_9410</v>
      </c>
      <c r="B1054" s="19" t="str">
        <f>IFERROR(__xludf.DUMMYFUNCTION("""COMPUTED_VALUE"""),"AB_9410_B")</f>
        <v>AB_9410_B</v>
      </c>
      <c r="C1054" s="19" t="str">
        <f>IFERROR(__xludf.DUMMYFUNCTION("""COMPUTED_VALUE"""),"VA9410")</f>
        <v>VA9410</v>
      </c>
      <c r="D1054" s="19" t="str">
        <f>IFERROR(__xludf.DUMMYFUNCTION("""COMPUTED_VALUE"""),"Estero San Francisco")</f>
        <v>Estero San Francisco</v>
      </c>
      <c r="E1054" s="19" t="str">
        <f>IFERROR(__xludf.DUMMYFUNCTION("""COMPUTED_VALUE"""),"SITIO RFI")</f>
        <v>SITIO RFI</v>
      </c>
      <c r="F1054" s="19" t="str">
        <f>IFERROR(__xludf.DUMMYFUNCTION("""COMPUTED_VALUE"""),"RFI")</f>
        <v>RFI</v>
      </c>
      <c r="G1054" s="19" t="str">
        <f>IFERROR(__xludf.DUMMYFUNCTION("""COMPUTED_VALUE"""),"AS48")</f>
        <v>AS48</v>
      </c>
      <c r="H1054" s="19" t="str">
        <f>IFERROR(__xludf.DUMMYFUNCTION("""COMPUTED_VALUE"""),"MER")</f>
        <v>MER</v>
      </c>
      <c r="I1054" s="19" t="str">
        <f>IFERROR(__xludf.DUMMYFUNCTION("""COMPUTED_VALUE"""),"Entregada")</f>
        <v>Entregada</v>
      </c>
      <c r="J1054" s="20">
        <f>IFERROR(__xludf.DUMMYFUNCTION("""COMPUTED_VALUE"""),44722.0)</f>
        <v>44722</v>
      </c>
      <c r="K1054" s="19" t="str">
        <f>IFERROR(__xludf.DUMMYFUNCTION("""COMPUTED_VALUE"""),"Entregada")</f>
        <v>Entregada</v>
      </c>
      <c r="L1054" s="20">
        <f>IFERROR(__xludf.DUMMYFUNCTION("""COMPUTED_VALUE"""),44742.0)</f>
        <v>44742</v>
      </c>
      <c r="M1054" s="19" t="str">
        <f>IFERROR(__xludf.DUMMYFUNCTION("""COMPUTED_VALUE"""),"PCM")</f>
        <v>PCM</v>
      </c>
      <c r="N1054" s="19" t="str">
        <f>IFERROR(__xludf.DUMMYFUNCTION("""COMPUTED_VALUE"""),"PRIORIDAD 1 Q3 2023 OCTUBRE")</f>
        <v>PRIORIDAD 1 Q3 2023 OCTUBRE</v>
      </c>
    </row>
    <row r="1055" ht="15.75" customHeight="1">
      <c r="A1055" s="19" t="str">
        <f>IFERROR(__xludf.DUMMYFUNCTION("""COMPUTED_VALUE"""),"AB_9411")</f>
        <v>AB_9411</v>
      </c>
      <c r="B1055" s="19" t="str">
        <f>IFERROR(__xludf.DUMMYFUNCTION("""COMPUTED_VALUE"""),"AB_9411_B")</f>
        <v>AB_9411_B</v>
      </c>
      <c r="C1055" s="19" t="str">
        <f>IFERROR(__xludf.DUMMYFUNCTION("""COMPUTED_VALUE"""),"VA9411")</f>
        <v>VA9411</v>
      </c>
      <c r="D1055" s="19" t="str">
        <f>IFERROR(__xludf.DUMMYFUNCTION("""COMPUTED_VALUE"""),"Cordillera El Melon")</f>
        <v>Cordillera El Melon</v>
      </c>
      <c r="E1055" s="19" t="str">
        <f>IFERROR(__xludf.DUMMYFUNCTION("""COMPUTED_VALUE"""),"SITIO EN CONSTRUCCION")</f>
        <v>SITIO EN CONSTRUCCION</v>
      </c>
      <c r="F1055" s="19" t="str">
        <f>IFERROR(__xludf.DUMMYFUNCTION("""COMPUTED_VALUE"""),"VISITA")</f>
        <v>VISITA</v>
      </c>
      <c r="G1055" s="19" t="str">
        <f>IFERROR(__xludf.DUMMYFUNCTION("""COMPUTED_VALUE"""),"CV48")</f>
        <v>CV48</v>
      </c>
      <c r="H1055" s="19" t="str">
        <f>IFERROR(__xludf.DUMMYFUNCTION("""COMPUTED_VALUE"""),"DEITEL")</f>
        <v>DEITEL</v>
      </c>
      <c r="I1055" s="19" t="str">
        <f>IFERROR(__xludf.DUMMYFUNCTION("""COMPUTED_VALUE"""),"Terminada")</f>
        <v>Terminada</v>
      </c>
      <c r="J1055" s="20">
        <f>IFERROR(__xludf.DUMMYFUNCTION("""COMPUTED_VALUE"""),44876.0)</f>
        <v>44876</v>
      </c>
      <c r="K1055" s="19" t="str">
        <f>IFERROR(__xludf.DUMMYFUNCTION("""COMPUTED_VALUE"""),"Terminada")</f>
        <v>Terminada</v>
      </c>
      <c r="L1055" s="20">
        <f>IFERROR(__xludf.DUMMYFUNCTION("""COMPUTED_VALUE"""),44904.0)</f>
        <v>44904</v>
      </c>
      <c r="M1055" s="19" t="str">
        <f>IFERROR(__xludf.DUMMYFUNCTION("""COMPUTED_VALUE"""),"PCM")</f>
        <v>PCM</v>
      </c>
      <c r="N1055" s="19" t="str">
        <f>IFERROR(__xludf.DUMMYFUNCTION("""COMPUTED_VALUE"""),"PRIORIDAD 1 Q3 2023 OCTUBRE")</f>
        <v>PRIORIDAD 1 Q3 2023 OCTUBRE</v>
      </c>
    </row>
    <row r="1056" ht="15.75" customHeight="1">
      <c r="A1056" s="19" t="str">
        <f>IFERROR(__xludf.DUMMYFUNCTION("""COMPUTED_VALUE"""),"AB_9600")</f>
        <v>AB_9600</v>
      </c>
      <c r="B1056" s="19" t="str">
        <f>IFERROR(__xludf.DUMMYFUNCTION("""COMPUTED_VALUE"""),"AB_9600_C")</f>
        <v>AB_9600_C</v>
      </c>
      <c r="C1056" s="19" t="str">
        <f>IFERROR(__xludf.DUMMYFUNCTION("""COMPUTED_VALUE"""),"VA9600")</f>
        <v>VA9600</v>
      </c>
      <c r="D1056" s="19" t="str">
        <f>IFERROR(__xludf.DUMMYFUNCTION("""COMPUTED_VALUE"""),"Aerodromo Casas Viejas Zapallar")</f>
        <v>Aerodromo Casas Viejas Zapallar</v>
      </c>
      <c r="E1056" s="19" t="str">
        <f>IFERROR(__xludf.DUMMYFUNCTION("""COMPUTED_VALUE"""),"SITIO RFI")</f>
        <v>SITIO RFI</v>
      </c>
      <c r="F1056" s="19" t="str">
        <f>IFERROR(__xludf.DUMMYFUNCTION("""COMPUTED_VALUE"""),"RFI")</f>
        <v>RFI</v>
      </c>
      <c r="G1056" s="19" t="str">
        <f>IFERROR(__xludf.DUMMYFUNCTION("""COMPUTED_VALUE"""),"AS36")</f>
        <v>AS36</v>
      </c>
      <c r="H1056" s="19" t="str">
        <f>IFERROR(__xludf.DUMMYFUNCTION("""COMPUTED_VALUE"""),"METALING")</f>
        <v>METALING</v>
      </c>
      <c r="I1056" s="19" t="str">
        <f>IFERROR(__xludf.DUMMYFUNCTION("""COMPUTED_VALUE"""),"Entregada")</f>
        <v>Entregada</v>
      </c>
      <c r="J1056" s="20">
        <f>IFERROR(__xludf.DUMMYFUNCTION("""COMPUTED_VALUE"""),44680.0)</f>
        <v>44680</v>
      </c>
      <c r="K1056" s="19" t="str">
        <f>IFERROR(__xludf.DUMMYFUNCTION("""COMPUTED_VALUE"""),"Entregada")</f>
        <v>Entregada</v>
      </c>
      <c r="L1056" s="20">
        <f>IFERROR(__xludf.DUMMYFUNCTION("""COMPUTED_VALUE"""),44722.0)</f>
        <v>44722</v>
      </c>
      <c r="M1056" s="19" t="str">
        <f>IFERROR(__xludf.DUMMYFUNCTION("""COMPUTED_VALUE"""),"PCM")</f>
        <v>PCM</v>
      </c>
      <c r="N1056" s="19" t="str">
        <f>IFERROR(__xludf.DUMMYFUNCTION("""COMPUTED_VALUE"""),"PRIORIDAD 1 Q3 2023 OCTUBRE")</f>
        <v>PRIORIDAD 1 Q3 2023 OCTUBRE</v>
      </c>
    </row>
    <row r="1057" ht="15.75" customHeight="1">
      <c r="A1057" s="19" t="str">
        <f>IFERROR(__xludf.DUMMYFUNCTION("""COMPUTED_VALUE"""),"AB_9602")</f>
        <v>AB_9602</v>
      </c>
      <c r="B1057" s="19" t="str">
        <f>IFERROR(__xludf.DUMMYFUNCTION("""COMPUTED_VALUE"""),"AB_9602_B")</f>
        <v>AB_9602_B</v>
      </c>
      <c r="C1057" s="19" t="str">
        <f>IFERROR(__xludf.DUMMYFUNCTION("""COMPUTED_VALUE"""),"VA9602")</f>
        <v>VA9602</v>
      </c>
      <c r="D1057" s="19" t="str">
        <f>IFERROR(__xludf.DUMMYFUNCTION("""COMPUTED_VALUE"""),"Cerro Calbu")</f>
        <v>Cerro Calbu</v>
      </c>
      <c r="E1057" s="19" t="str">
        <f>IFERROR(__xludf.DUMMYFUNCTION("""COMPUTED_VALUE"""),"SITIO RFI")</f>
        <v>SITIO RFI</v>
      </c>
      <c r="F1057" s="19" t="str">
        <f>IFERROR(__xludf.DUMMYFUNCTION("""COMPUTED_VALUE"""),"MONTAJE")</f>
        <v>MONTAJE</v>
      </c>
      <c r="G1057" s="19" t="str">
        <f>IFERROR(__xludf.DUMMYFUNCTION("""COMPUTED_VALUE"""),"CV36")</f>
        <v>CV36</v>
      </c>
      <c r="H1057" s="19" t="str">
        <f>IFERROR(__xludf.DUMMYFUNCTION("""COMPUTED_VALUE"""),"AJ")</f>
        <v>AJ</v>
      </c>
      <c r="I1057" s="19" t="str">
        <f>IFERROR(__xludf.DUMMYFUNCTION("""COMPUTED_VALUE"""),"Entregada")</f>
        <v>Entregada</v>
      </c>
      <c r="J1057" s="20">
        <f>IFERROR(__xludf.DUMMYFUNCTION("""COMPUTED_VALUE"""),44697.0)</f>
        <v>44697</v>
      </c>
      <c r="K1057" s="19" t="str">
        <f>IFERROR(__xludf.DUMMYFUNCTION("""COMPUTED_VALUE"""),"Entregada")</f>
        <v>Entregada</v>
      </c>
      <c r="L1057" s="20">
        <f>IFERROR(__xludf.DUMMYFUNCTION("""COMPUTED_VALUE"""),44868.0)</f>
        <v>44868</v>
      </c>
      <c r="M1057" s="19" t="str">
        <f>IFERROR(__xludf.DUMMYFUNCTION("""COMPUTED_VALUE"""),"PCM")</f>
        <v>PCM</v>
      </c>
      <c r="N1057" s="19" t="str">
        <f>IFERROR(__xludf.DUMMYFUNCTION("""COMPUTED_VALUE"""),"PRIORIDAD 1 Q3 2023 OCTUBRE")</f>
        <v>PRIORIDAD 1 Q3 2023 OCTUBRE</v>
      </c>
    </row>
    <row r="1058" ht="15.75" customHeight="1">
      <c r="A1058" s="19" t="str">
        <f>IFERROR(__xludf.DUMMYFUNCTION("""COMPUTED_VALUE"""),"AB_9603")</f>
        <v>AB_9603</v>
      </c>
      <c r="B1058" s="19" t="str">
        <f>IFERROR(__xludf.DUMMYFUNCTION("""COMPUTED_VALUE"""),"AB_9603_C")</f>
        <v>AB_9603_C</v>
      </c>
      <c r="C1058" s="23" t="str">
        <f>IFERROR(__xludf.DUMMYFUNCTION("""COMPUTED_VALUE"""),"VA9603")</f>
        <v>VA9603</v>
      </c>
      <c r="D1058" s="19" t="str">
        <f>IFERROR(__xludf.DUMMYFUNCTION("""COMPUTED_VALUE"""),"Cajon El Zaino")</f>
        <v>Cajon El Zaino</v>
      </c>
      <c r="E1058" s="19" t="str">
        <f>IFERROR(__xludf.DUMMYFUNCTION("""COMPUTED_VALUE"""),"SITIO RFI")</f>
        <v>SITIO RFI</v>
      </c>
      <c r="F1058" s="19" t="str">
        <f>IFERROR(__xludf.DUMMYFUNCTION("""COMPUTED_VALUE"""),"RFI")</f>
        <v>RFI</v>
      </c>
      <c r="G1058" s="19" t="str">
        <f>IFERROR(__xludf.DUMMYFUNCTION("""COMPUTED_VALUE"""),"CV48")</f>
        <v>CV48</v>
      </c>
      <c r="H1058" s="19" t="str">
        <f>IFERROR(__xludf.DUMMYFUNCTION("""COMPUTED_VALUE"""),"ADM")</f>
        <v>ADM</v>
      </c>
      <c r="I1058" s="19" t="str">
        <f>IFERROR(__xludf.DUMMYFUNCTION("""COMPUTED_VALUE"""),"Entregada")</f>
        <v>Entregada</v>
      </c>
      <c r="J1058" s="20">
        <f>IFERROR(__xludf.DUMMYFUNCTION("""COMPUTED_VALUE"""),44736.0)</f>
        <v>44736</v>
      </c>
      <c r="K1058" s="19" t="str">
        <f>IFERROR(__xludf.DUMMYFUNCTION("""COMPUTED_VALUE"""),"Entregada")</f>
        <v>Entregada</v>
      </c>
      <c r="L1058" s="20">
        <f>IFERROR(__xludf.DUMMYFUNCTION("""COMPUTED_VALUE"""),44855.0)</f>
        <v>44855</v>
      </c>
      <c r="M1058" s="19" t="str">
        <f>IFERROR(__xludf.DUMMYFUNCTION("""COMPUTED_VALUE"""),"PCM")</f>
        <v>PCM</v>
      </c>
      <c r="N1058" s="19" t="str">
        <f>IFERROR(__xludf.DUMMYFUNCTION("""COMPUTED_VALUE"""),"PRIORIDAD 1 Q3 2023 OCTUBRE")</f>
        <v>PRIORIDAD 1 Q3 2023 OCTUBRE</v>
      </c>
    </row>
    <row r="1059" ht="15.75" customHeight="1">
      <c r="A1059" s="19" t="str">
        <f>IFERROR(__xludf.DUMMYFUNCTION("""COMPUTED_VALUE"""),"AB_9604")</f>
        <v>AB_9604</v>
      </c>
      <c r="B1059" s="19" t="str">
        <f>IFERROR(__xludf.DUMMYFUNCTION("""COMPUTED_VALUE"""),"AB_9604_C")</f>
        <v>AB_9604_C</v>
      </c>
      <c r="C1059" s="19" t="str">
        <f>IFERROR(__xludf.DUMMYFUNCTION("""COMPUTED_VALUE"""),"VA9604")</f>
        <v>VA9604</v>
      </c>
      <c r="D1059" s="19" t="str">
        <f>IFERROR(__xludf.DUMMYFUNCTION("""COMPUTED_VALUE"""),"Acceso Sur La Ligua")</f>
        <v>Acceso Sur La Ligua</v>
      </c>
      <c r="E1059" s="19" t="str">
        <f>IFERROR(__xludf.DUMMYFUNCTION("""COMPUTED_VALUE"""),"SITIO RFI")</f>
        <v>SITIO RFI</v>
      </c>
      <c r="F1059" s="19" t="str">
        <f>IFERROR(__xludf.DUMMYFUNCTION("""COMPUTED_VALUE"""),"RFI")</f>
        <v>RFI</v>
      </c>
      <c r="G1059" s="19" t="str">
        <f>IFERROR(__xludf.DUMMYFUNCTION("""COMPUTED_VALUE"""),"CV48")</f>
        <v>CV48</v>
      </c>
      <c r="H1059" s="19" t="str">
        <f>IFERROR(__xludf.DUMMYFUNCTION("""COMPUTED_VALUE"""),"JTI")</f>
        <v>JTI</v>
      </c>
      <c r="I1059" s="19" t="str">
        <f>IFERROR(__xludf.DUMMYFUNCTION("""COMPUTED_VALUE"""),"Entregada")</f>
        <v>Entregada</v>
      </c>
      <c r="J1059" s="20">
        <f>IFERROR(__xludf.DUMMYFUNCTION("""COMPUTED_VALUE"""),44893.0)</f>
        <v>44893</v>
      </c>
      <c r="K1059" s="19" t="str">
        <f>IFERROR(__xludf.DUMMYFUNCTION("""COMPUTED_VALUE"""),"Entregada")</f>
        <v>Entregada</v>
      </c>
      <c r="L1059" s="20">
        <f>IFERROR(__xludf.DUMMYFUNCTION("""COMPUTED_VALUE"""),44902.0)</f>
        <v>44902</v>
      </c>
      <c r="M1059" s="19" t="str">
        <f>IFERROR(__xludf.DUMMYFUNCTION("""COMPUTED_VALUE"""),"PP")</f>
        <v>PP</v>
      </c>
      <c r="N1059" s="19" t="str">
        <f>IFERROR(__xludf.DUMMYFUNCTION("""COMPUTED_VALUE"""),"PRIORIDAD 1 Q3 2023 OCTUBRE")</f>
        <v>PRIORIDAD 1 Q3 2023 OCTUBRE</v>
      </c>
    </row>
    <row r="1060" ht="15.75" customHeight="1">
      <c r="A1060" s="19" t="str">
        <f>IFERROR(__xludf.DUMMYFUNCTION("""COMPUTED_VALUE"""),"AB_9605")</f>
        <v>AB_9605</v>
      </c>
      <c r="B1060" s="19" t="str">
        <f>IFERROR(__xludf.DUMMYFUNCTION("""COMPUTED_VALUE"""),"AB_9605_B")</f>
        <v>AB_9605_B</v>
      </c>
      <c r="C1060" s="19" t="str">
        <f>IFERROR(__xludf.DUMMYFUNCTION("""COMPUTED_VALUE"""),"VA9605")</f>
        <v>VA9605</v>
      </c>
      <c r="D1060" s="19" t="str">
        <f>IFERROR(__xludf.DUMMYFUNCTION("""COMPUTED_VALUE"""),"El Naranjal Llay-Llay")</f>
        <v>El Naranjal Llay-Llay</v>
      </c>
      <c r="E1060" s="19" t="str">
        <f>IFERROR(__xludf.DUMMYFUNCTION("""COMPUTED_VALUE"""),"SITIO RFI")</f>
        <v>SITIO RFI</v>
      </c>
      <c r="F1060" s="19" t="str">
        <f>IFERROR(__xludf.DUMMYFUNCTION("""COMPUTED_VALUE"""),"RFI")</f>
        <v>RFI</v>
      </c>
      <c r="G1060" s="19" t="str">
        <f>IFERROR(__xludf.DUMMYFUNCTION("""COMPUTED_VALUE"""),"AS42")</f>
        <v>AS42</v>
      </c>
      <c r="H1060" s="19" t="str">
        <f>IFERROR(__xludf.DUMMYFUNCTION("""COMPUTED_VALUE"""),"AJ")</f>
        <v>AJ</v>
      </c>
      <c r="I1060" s="19" t="str">
        <f>IFERROR(__xludf.DUMMYFUNCTION("""COMPUTED_VALUE"""),"Entregada")</f>
        <v>Entregada</v>
      </c>
      <c r="J1060" s="20">
        <f>IFERROR(__xludf.DUMMYFUNCTION("""COMPUTED_VALUE"""),44543.0)</f>
        <v>44543</v>
      </c>
      <c r="K1060" s="19" t="str">
        <f>IFERROR(__xludf.DUMMYFUNCTION("""COMPUTED_VALUE"""),"Entregada")</f>
        <v>Entregada</v>
      </c>
      <c r="L1060" s="20">
        <f>IFERROR(__xludf.DUMMYFUNCTION("""COMPUTED_VALUE"""),44533.0)</f>
        <v>44533</v>
      </c>
      <c r="M1060" s="19" t="str">
        <f>IFERROR(__xludf.DUMMYFUNCTION("""COMPUTED_VALUE"""),"PCM")</f>
        <v>PCM</v>
      </c>
      <c r="N1060" s="19" t="str">
        <f>IFERROR(__xludf.DUMMYFUNCTION("""COMPUTED_VALUE"""),"PRIORIDAD 1 Q3 2023 OCTUBRE")</f>
        <v>PRIORIDAD 1 Q3 2023 OCTUBRE</v>
      </c>
    </row>
    <row r="1061" ht="15.75" customHeight="1">
      <c r="A1061" s="19" t="str">
        <f>IFERROR(__xludf.DUMMYFUNCTION("""COMPUTED_VALUE"""),"AB_9619")</f>
        <v>AB_9619</v>
      </c>
      <c r="B1061" s="19" t="str">
        <f>IFERROR(__xludf.DUMMYFUNCTION("""COMPUTED_VALUE"""),"AB_9619_A")</f>
        <v>AB_9619_A</v>
      </c>
      <c r="C1061" s="19" t="str">
        <f>IFERROR(__xludf.DUMMYFUNCTION("""COMPUTED_VALUE"""),"VA9619")</f>
        <v>VA9619</v>
      </c>
      <c r="D1061" s="19" t="str">
        <f>IFERROR(__xludf.DUMMYFUNCTION("""COMPUTED_VALUE"""),"Rocas del Mar")</f>
        <v>Rocas del Mar</v>
      </c>
      <c r="E1061" s="19" t="str">
        <f>IFERROR(__xludf.DUMMYFUNCTION("""COMPUTED_VALUE"""),"SITIO EN CONSTRUCCION")</f>
        <v>SITIO EN CONSTRUCCION</v>
      </c>
      <c r="F1061" s="19" t="str">
        <f>IFERROR(__xludf.DUMMYFUNCTION("""COMPUTED_VALUE"""),"ENFIERRADURA")</f>
        <v>ENFIERRADURA</v>
      </c>
      <c r="G1061" s="19" t="str">
        <f>IFERROR(__xludf.DUMMYFUNCTION("""COMPUTED_VALUE"""),"MP R24")</f>
        <v>MP R24</v>
      </c>
      <c r="H1061" s="19" t="str">
        <f>IFERROR(__xludf.DUMMYFUNCTION("""COMPUTED_VALUE"""),"DEITEL")</f>
        <v>DEITEL</v>
      </c>
      <c r="I1061" s="19" t="str">
        <f>IFERROR(__xludf.DUMMYFUNCTION("""COMPUTED_VALUE"""),"Entregada")</f>
        <v>Entregada</v>
      </c>
      <c r="J1061" s="20">
        <f>IFERROR(__xludf.DUMMYFUNCTION("""COMPUTED_VALUE"""),44876.0)</f>
        <v>44876</v>
      </c>
      <c r="K1061" s="19" t="str">
        <f>IFERROR(__xludf.DUMMYFUNCTION("""COMPUTED_VALUE"""),"Terminada")</f>
        <v>Terminada</v>
      </c>
      <c r="L1061" s="20">
        <f>IFERROR(__xludf.DUMMYFUNCTION("""COMPUTED_VALUE"""),45016.0)</f>
        <v>45016</v>
      </c>
      <c r="M1061" s="19" t="str">
        <f>IFERROR(__xludf.DUMMYFUNCTION("""COMPUTED_VALUE"""),"PP")</f>
        <v>PP</v>
      </c>
      <c r="N1061" s="19" t="str">
        <f>IFERROR(__xludf.DUMMYFUNCTION("""COMPUTED_VALUE"""),"PRIORIDAD 1 Q3 2023 OCTUBRE")</f>
        <v>PRIORIDAD 1 Q3 2023 OCTUBRE</v>
      </c>
    </row>
    <row r="1062" ht="15.75" customHeight="1">
      <c r="A1062" s="19" t="str">
        <f>IFERROR(__xludf.DUMMYFUNCTION("""COMPUTED_VALUE"""),"AB_9645")</f>
        <v>AB_9645</v>
      </c>
      <c r="B1062" s="19" t="str">
        <f>IFERROR(__xludf.DUMMYFUNCTION("""COMPUTED_VALUE"""),"AB_9645_C")</f>
        <v>AB_9645_C</v>
      </c>
      <c r="C1062" s="19" t="str">
        <f>IFERROR(__xludf.DUMMYFUNCTION("""COMPUTED_VALUE"""),"VA9645")</f>
        <v>VA9645</v>
      </c>
      <c r="D1062" s="19" t="str">
        <f>IFERROR(__xludf.DUMMYFUNCTION("""COMPUTED_VALUE"""),"Lo Rojas La Cruz")</f>
        <v>Lo Rojas La Cruz</v>
      </c>
      <c r="E1062" s="19" t="str">
        <f>IFERROR(__xludf.DUMMYFUNCTION("""COMPUTED_VALUE"""),"SITIO RFI")</f>
        <v>SITIO RFI</v>
      </c>
      <c r="F1062" s="19" t="str">
        <f>IFERROR(__xludf.DUMMYFUNCTION("""COMPUTED_VALUE"""),"RFI")</f>
        <v>RFI</v>
      </c>
      <c r="G1062" s="19" t="str">
        <f>IFERROR(__xludf.DUMMYFUNCTION("""COMPUTED_VALUE"""),"CV60")</f>
        <v>CV60</v>
      </c>
      <c r="H1062" s="19" t="str">
        <f>IFERROR(__xludf.DUMMYFUNCTION("""COMPUTED_VALUE"""),"DEPROMET")</f>
        <v>DEPROMET</v>
      </c>
      <c r="I1062" s="19" t="str">
        <f>IFERROR(__xludf.DUMMYFUNCTION("""COMPUTED_VALUE"""),"Entregada")</f>
        <v>Entregada</v>
      </c>
      <c r="J1062" s="20">
        <f>IFERROR(__xludf.DUMMYFUNCTION("""COMPUTED_VALUE"""),44839.0)</f>
        <v>44839</v>
      </c>
      <c r="K1062" s="19" t="str">
        <f>IFERROR(__xludf.DUMMYFUNCTION("""COMPUTED_VALUE"""),"Entregada")</f>
        <v>Entregada</v>
      </c>
      <c r="L1062" s="20">
        <f>IFERROR(__xludf.DUMMYFUNCTION("""COMPUTED_VALUE"""),44881.0)</f>
        <v>44881</v>
      </c>
      <c r="M1062" s="19" t="str">
        <f>IFERROR(__xludf.DUMMYFUNCTION("""COMPUTED_VALUE"""),"PCM")</f>
        <v>PCM</v>
      </c>
      <c r="N1062" s="19" t="str">
        <f>IFERROR(__xludf.DUMMYFUNCTION("""COMPUTED_VALUE"""),"PRIORIDAD 1 Q3 2023 OCTUBRE")</f>
        <v>PRIORIDAD 1 Q3 2023 OCTUBRE</v>
      </c>
    </row>
    <row r="1063" ht="15.75" customHeight="1">
      <c r="A1063" s="19" t="str">
        <f>IFERROR(__xludf.DUMMYFUNCTION("""COMPUTED_VALUE"""),"AB_9646")</f>
        <v>AB_9646</v>
      </c>
      <c r="B1063" s="19" t="str">
        <f>IFERROR(__xludf.DUMMYFUNCTION("""COMPUTED_VALUE"""),"AB_9646_D")</f>
        <v>AB_9646_D</v>
      </c>
      <c r="C1063" s="19" t="str">
        <f>IFERROR(__xludf.DUMMYFUNCTION("""COMPUTED_VALUE"""),"VA9646")</f>
        <v>VA9646</v>
      </c>
      <c r="D1063" s="19" t="str">
        <f>IFERROR(__xludf.DUMMYFUNCTION("""COMPUTED_VALUE"""),"Rosario Arriba")</f>
        <v>Rosario Arriba</v>
      </c>
      <c r="E1063" s="19" t="str">
        <f>IFERROR(__xludf.DUMMYFUNCTION("""COMPUTED_VALUE"""),"SITIO RFI")</f>
        <v>SITIO RFI</v>
      </c>
      <c r="F1063" s="19" t="str">
        <f>IFERROR(__xludf.DUMMYFUNCTION("""COMPUTED_VALUE"""),"HORMIGONADO")</f>
        <v>HORMIGONADO</v>
      </c>
      <c r="G1063" s="19" t="str">
        <f>IFERROR(__xludf.DUMMYFUNCTION("""COMPUTED_VALUE"""),"CV36")</f>
        <v>CV36</v>
      </c>
      <c r="H1063" s="19" t="str">
        <f>IFERROR(__xludf.DUMMYFUNCTION("""COMPUTED_VALUE"""),"INCOSERV")</f>
        <v>INCOSERV</v>
      </c>
      <c r="I1063" s="19" t="str">
        <f>IFERROR(__xludf.DUMMYFUNCTION("""COMPUTED_VALUE"""),"Terminada")</f>
        <v>Terminada</v>
      </c>
      <c r="J1063" s="20">
        <f>IFERROR(__xludf.DUMMYFUNCTION("""COMPUTED_VALUE"""),45034.0)</f>
        <v>45034</v>
      </c>
      <c r="K1063" s="19" t="str">
        <f>IFERROR(__xludf.DUMMYFUNCTION("""COMPUTED_VALUE"""),"Por pintar ")</f>
        <v>Por pintar </v>
      </c>
      <c r="L1063" s="20">
        <f>IFERROR(__xludf.DUMMYFUNCTION("""COMPUTED_VALUE"""),45100.0)</f>
        <v>45100</v>
      </c>
      <c r="M1063" s="19" t="str">
        <f>IFERROR(__xludf.DUMMYFUNCTION("""COMPUTED_VALUE"""),"PCM")</f>
        <v>PCM</v>
      </c>
      <c r="N1063" s="19" t="str">
        <f>IFERROR(__xludf.DUMMYFUNCTION("""COMPUTED_VALUE"""),"PRIORIDAD 1 Q3 2023 OCTUBRE")</f>
        <v>PRIORIDAD 1 Q3 2023 OCTUBRE</v>
      </c>
    </row>
    <row r="1064" ht="15.75" customHeight="1">
      <c r="A1064" s="19" t="str">
        <f>IFERROR(__xludf.DUMMYFUNCTION("""COMPUTED_VALUE"""),"AB_9656")</f>
        <v>AB_9656</v>
      </c>
      <c r="B1064" s="19" t="str">
        <f>IFERROR(__xludf.DUMMYFUNCTION("""COMPUTED_VALUE"""),"AB_9656_C")</f>
        <v>AB_9656_C</v>
      </c>
      <c r="C1064" s="19" t="str">
        <f>IFERROR(__xludf.DUMMYFUNCTION("""COMPUTED_VALUE"""),"VA9656")</f>
        <v>VA9656</v>
      </c>
      <c r="D1064" s="19" t="str">
        <f>IFERROR(__xludf.DUMMYFUNCTION("""COMPUTED_VALUE"""),"Lo Campo Panquehue")</f>
        <v>Lo Campo Panquehue</v>
      </c>
      <c r="E1064" s="19" t="str">
        <f>IFERROR(__xludf.DUMMYFUNCTION("""COMPUTED_VALUE"""),"SITIO RFI")</f>
        <v>SITIO RFI</v>
      </c>
      <c r="F1064" s="19" t="str">
        <f>IFERROR(__xludf.DUMMYFUNCTION("""COMPUTED_VALUE"""),"RFI")</f>
        <v>RFI</v>
      </c>
      <c r="G1064" s="19" t="str">
        <f>IFERROR(__xludf.DUMMYFUNCTION("""COMPUTED_VALUE"""),"AS60")</f>
        <v>AS60</v>
      </c>
      <c r="H1064" s="19" t="str">
        <f>IFERROR(__xludf.DUMMYFUNCTION("""COMPUTED_VALUE"""),"AJ")</f>
        <v>AJ</v>
      </c>
      <c r="I1064" s="19" t="str">
        <f>IFERROR(__xludf.DUMMYFUNCTION("""COMPUTED_VALUE"""),"Entregada")</f>
        <v>Entregada</v>
      </c>
      <c r="J1064" s="20">
        <f>IFERROR(__xludf.DUMMYFUNCTION("""COMPUTED_VALUE"""),44643.0)</f>
        <v>44643</v>
      </c>
      <c r="K1064" s="19" t="str">
        <f>IFERROR(__xludf.DUMMYFUNCTION("""COMPUTED_VALUE"""),"Entregada")</f>
        <v>Entregada</v>
      </c>
      <c r="L1064" s="20">
        <f>IFERROR(__xludf.DUMMYFUNCTION("""COMPUTED_VALUE"""),44698.0)</f>
        <v>44698</v>
      </c>
      <c r="M1064" s="19" t="str">
        <f>IFERROR(__xludf.DUMMYFUNCTION("""COMPUTED_VALUE"""),"PCM")</f>
        <v>PCM</v>
      </c>
      <c r="N1064" s="19" t="str">
        <f>IFERROR(__xludf.DUMMYFUNCTION("""COMPUTED_VALUE"""),"PRIORIDAD 1 Q3 2023 OCTUBRE")</f>
        <v>PRIORIDAD 1 Q3 2023 OCTUBRE</v>
      </c>
    </row>
    <row r="1065" ht="15.75" customHeight="1">
      <c r="A1065" s="19" t="str">
        <f>IFERROR(__xludf.DUMMYFUNCTION("""COMPUTED_VALUE"""),"AB_9657")</f>
        <v>AB_9657</v>
      </c>
      <c r="B1065" s="19" t="str">
        <f>IFERROR(__xludf.DUMMYFUNCTION("""COMPUTED_VALUE"""),"AB_9657_C")</f>
        <v>AB_9657_C</v>
      </c>
      <c r="C1065" s="19" t="str">
        <f>IFERROR(__xludf.DUMMYFUNCTION("""COMPUTED_VALUE"""),"VA9657")</f>
        <v>VA9657</v>
      </c>
      <c r="D1065" s="19" t="str">
        <f>IFERROR(__xludf.DUMMYFUNCTION("""COMPUTED_VALUE"""),"Quebrada El Mondongo")</f>
        <v>Quebrada El Mondongo</v>
      </c>
      <c r="E1065" s="19" t="str">
        <f>IFERROR(__xludf.DUMMYFUNCTION("""COMPUTED_VALUE"""),"SITIO RFI")</f>
        <v>SITIO RFI</v>
      </c>
      <c r="F1065" s="19" t="str">
        <f>IFERROR(__xludf.DUMMYFUNCTION("""COMPUTED_VALUE"""),"RFI")</f>
        <v>RFI</v>
      </c>
      <c r="G1065" s="19" t="str">
        <f>IFERROR(__xludf.DUMMYFUNCTION("""COMPUTED_VALUE"""),"CV60")</f>
        <v>CV60</v>
      </c>
      <c r="H1065" s="19" t="str">
        <f>IFERROR(__xludf.DUMMYFUNCTION("""COMPUTED_VALUE"""),"ADM")</f>
        <v>ADM</v>
      </c>
      <c r="I1065" s="19" t="str">
        <f>IFERROR(__xludf.DUMMYFUNCTION("""COMPUTED_VALUE"""),"Entregada")</f>
        <v>Entregada</v>
      </c>
      <c r="J1065" s="20">
        <f>IFERROR(__xludf.DUMMYFUNCTION("""COMPUTED_VALUE"""),44743.0)</f>
        <v>44743</v>
      </c>
      <c r="K1065" s="19" t="str">
        <f>IFERROR(__xludf.DUMMYFUNCTION("""COMPUTED_VALUE"""),"Entregada")</f>
        <v>Entregada</v>
      </c>
      <c r="L1065" s="20">
        <f>IFERROR(__xludf.DUMMYFUNCTION("""COMPUTED_VALUE"""),44855.0)</f>
        <v>44855</v>
      </c>
      <c r="M1065" s="19" t="str">
        <f>IFERROR(__xludf.DUMMYFUNCTION("""COMPUTED_VALUE"""),"PCM")</f>
        <v>PCM</v>
      </c>
      <c r="N1065" s="19" t="str">
        <f>IFERROR(__xludf.DUMMYFUNCTION("""COMPUTED_VALUE"""),"PRIORIDAD 1 Q3 2023 OCTUBRE")</f>
        <v>PRIORIDAD 1 Q3 2023 OCTUBRE</v>
      </c>
    </row>
    <row r="1066" ht="15.75" customHeight="1">
      <c r="A1066" s="19" t="str">
        <f>IFERROR(__xludf.DUMMYFUNCTION("""COMPUTED_VALUE"""),"AB_9659")</f>
        <v>AB_9659</v>
      </c>
      <c r="B1066" s="19" t="str">
        <f>IFERROR(__xludf.DUMMYFUNCTION("""COMPUTED_VALUE"""),"AB_9659_J")</f>
        <v>AB_9659_J</v>
      </c>
      <c r="C1066" s="19" t="str">
        <f>IFERROR(__xludf.DUMMYFUNCTION("""COMPUTED_VALUE"""),"VA9659")</f>
        <v>VA9659</v>
      </c>
      <c r="D1066" s="19" t="str">
        <f>IFERROR(__xludf.DUMMYFUNCTION("""COMPUTED_VALUE"""),"Pocochay")</f>
        <v>Pocochay</v>
      </c>
      <c r="E1066" s="19" t="str">
        <f>IFERROR(__xludf.DUMMYFUNCTION("""COMPUTED_VALUE"""),"SITIO RFI")</f>
        <v>SITIO RFI</v>
      </c>
      <c r="F1066" s="19" t="str">
        <f>IFERROR(__xludf.DUMMYFUNCTION("""COMPUTED_VALUE"""),"RFI")</f>
        <v>RFI</v>
      </c>
      <c r="G1066" s="19" t="str">
        <f>IFERROR(__xludf.DUMMYFUNCTION("""COMPUTED_VALUE"""),"AS60")</f>
        <v>AS60</v>
      </c>
      <c r="H1066" s="19" t="str">
        <f>IFERROR(__xludf.DUMMYFUNCTION("""COMPUTED_VALUE"""),"DEITEL")</f>
        <v>DEITEL</v>
      </c>
      <c r="I1066" s="19" t="str">
        <f>IFERROR(__xludf.DUMMYFUNCTION("""COMPUTED_VALUE"""),"Entregada")</f>
        <v>Entregada</v>
      </c>
      <c r="J1066" s="20">
        <f>IFERROR(__xludf.DUMMYFUNCTION("""COMPUTED_VALUE"""),44705.0)</f>
        <v>44705</v>
      </c>
      <c r="K1066" s="19" t="str">
        <f>IFERROR(__xludf.DUMMYFUNCTION("""COMPUTED_VALUE"""),"Entregada")</f>
        <v>Entregada</v>
      </c>
      <c r="L1066" s="20">
        <f>IFERROR(__xludf.DUMMYFUNCTION("""COMPUTED_VALUE"""),44734.0)</f>
        <v>44734</v>
      </c>
      <c r="M1066" s="19" t="str">
        <f>IFERROR(__xludf.DUMMYFUNCTION("""COMPUTED_VALUE"""),"PCM")</f>
        <v>PCM</v>
      </c>
      <c r="N1066" s="19" t="str">
        <f>IFERROR(__xludf.DUMMYFUNCTION("""COMPUTED_VALUE"""),"PRIORIDAD 1 Q3 2023 OCTUBRE")</f>
        <v>PRIORIDAD 1 Q3 2023 OCTUBRE</v>
      </c>
    </row>
    <row r="1067" ht="15.75" customHeight="1">
      <c r="A1067" s="19" t="str">
        <f>IFERROR(__xludf.DUMMYFUNCTION("""COMPUTED_VALUE"""),"AB_9660")</f>
        <v>AB_9660</v>
      </c>
      <c r="B1067" s="19" t="str">
        <f>IFERROR(__xludf.DUMMYFUNCTION("""COMPUTED_VALUE"""),"AB_9660_B")</f>
        <v>AB_9660_B</v>
      </c>
      <c r="C1067" s="19" t="str">
        <f>IFERROR(__xludf.DUMMYFUNCTION("""COMPUTED_VALUE"""),"VA9660")</f>
        <v>VA9660</v>
      </c>
      <c r="D1067" s="19" t="str">
        <f>IFERROR(__xludf.DUMMYFUNCTION("""COMPUTED_VALUE"""),"Quillaicillo El Tabo")</f>
        <v>Quillaicillo El Tabo</v>
      </c>
      <c r="E1067" s="19" t="str">
        <f>IFERROR(__xludf.DUMMYFUNCTION("""COMPUTED_VALUE"""),"SITIO RFI")</f>
        <v>SITIO RFI</v>
      </c>
      <c r="F1067" s="19" t="str">
        <f>IFERROR(__xludf.DUMMYFUNCTION("""COMPUTED_VALUE"""),"RFI")</f>
        <v>RFI</v>
      </c>
      <c r="G1067" s="19" t="str">
        <f>IFERROR(__xludf.DUMMYFUNCTION("""COMPUTED_VALUE"""),"MP36")</f>
        <v>MP36</v>
      </c>
      <c r="H1067" s="19" t="str">
        <f>IFERROR(__xludf.DUMMYFUNCTION("""COMPUTED_VALUE"""),"AJ")</f>
        <v>AJ</v>
      </c>
      <c r="I1067" s="19" t="str">
        <f>IFERROR(__xludf.DUMMYFUNCTION("""COMPUTED_VALUE"""),"Entregada")</f>
        <v>Entregada</v>
      </c>
      <c r="J1067" s="20">
        <f>IFERROR(__xludf.DUMMYFUNCTION("""COMPUTED_VALUE"""),44658.0)</f>
        <v>44658</v>
      </c>
      <c r="K1067" s="19" t="str">
        <f>IFERROR(__xludf.DUMMYFUNCTION("""COMPUTED_VALUE"""),"Entregada")</f>
        <v>Entregada</v>
      </c>
      <c r="L1067" s="20">
        <f>IFERROR(__xludf.DUMMYFUNCTION("""COMPUTED_VALUE"""),44643.0)</f>
        <v>44643</v>
      </c>
      <c r="M1067" s="19" t="str">
        <f>IFERROR(__xludf.DUMMYFUNCTION("""COMPUTED_VALUE"""),"PCM")</f>
        <v>PCM</v>
      </c>
      <c r="N1067" s="19" t="str">
        <f>IFERROR(__xludf.DUMMYFUNCTION("""COMPUTED_VALUE"""),"PRIORIDAD 1 Q3 2023 OCTUBRE")</f>
        <v>PRIORIDAD 1 Q3 2023 OCTUBRE</v>
      </c>
    </row>
    <row r="1068" ht="15.75" customHeight="1">
      <c r="A1068" s="19" t="str">
        <f>IFERROR(__xludf.DUMMYFUNCTION("""COMPUTED_VALUE"""),"AB_9668")</f>
        <v>AB_9668</v>
      </c>
      <c r="B1068" s="19" t="str">
        <f>IFERROR(__xludf.DUMMYFUNCTION("""COMPUTED_VALUE"""),"AB_9668_A")</f>
        <v>AB_9668_A</v>
      </c>
      <c r="C1068" s="19" t="str">
        <f>IFERROR(__xludf.DUMMYFUNCTION("""COMPUTED_VALUE"""),"VA9668")</f>
        <v>VA9668</v>
      </c>
      <c r="D1068" s="19" t="str">
        <f>IFERROR(__xludf.DUMMYFUNCTION("""COMPUTED_VALUE"""),"Santa Filomena Santa Maria")</f>
        <v>Santa Filomena Santa Maria</v>
      </c>
      <c r="E1068" s="19" t="str">
        <f>IFERROR(__xludf.DUMMYFUNCTION("""COMPUTED_VALUE"""),"SITIO RFI")</f>
        <v>SITIO RFI</v>
      </c>
      <c r="F1068" s="19" t="str">
        <f>IFERROR(__xludf.DUMMYFUNCTION("""COMPUTED_VALUE"""),"MONTAJE")</f>
        <v>MONTAJE</v>
      </c>
      <c r="G1068" s="19" t="str">
        <f>IFERROR(__xludf.DUMMYFUNCTION("""COMPUTED_VALUE"""),"CV48")</f>
        <v>CV48</v>
      </c>
      <c r="H1068" s="19" t="str">
        <f>IFERROR(__xludf.DUMMYFUNCTION("""COMPUTED_VALUE"""),"JTI")</f>
        <v>JTI</v>
      </c>
      <c r="I1068" s="19" t="str">
        <f>IFERROR(__xludf.DUMMYFUNCTION("""COMPUTED_VALUE"""),"Entregada")</f>
        <v>Entregada</v>
      </c>
      <c r="J1068" s="20">
        <f>IFERROR(__xludf.DUMMYFUNCTION("""COMPUTED_VALUE"""),44859.0)</f>
        <v>44859</v>
      </c>
      <c r="K1068" s="19" t="str">
        <f>IFERROR(__xludf.DUMMYFUNCTION("""COMPUTED_VALUE"""),"Entregada")</f>
        <v>Entregada</v>
      </c>
      <c r="L1068" s="20">
        <f>IFERROR(__xludf.DUMMYFUNCTION("""COMPUTED_VALUE"""),44844.0)</f>
        <v>44844</v>
      </c>
      <c r="M1068" s="19" t="str">
        <f>IFERROR(__xludf.DUMMYFUNCTION("""COMPUTED_VALUE"""),"PCM")</f>
        <v>PCM</v>
      </c>
      <c r="N1068" s="19" t="str">
        <f>IFERROR(__xludf.DUMMYFUNCTION("""COMPUTED_VALUE"""),"PRIORIDAD 1 Q3 2023 OCTUBRE")</f>
        <v>PRIORIDAD 1 Q3 2023 OCTUBRE</v>
      </c>
    </row>
    <row r="1069" ht="15.75" customHeight="1">
      <c r="A1069" s="19" t="str">
        <f>IFERROR(__xludf.DUMMYFUNCTION("""COMPUTED_VALUE"""),"AB_9746")</f>
        <v>AB_9746</v>
      </c>
      <c r="B1069" s="19" t="str">
        <f>IFERROR(__xludf.DUMMYFUNCTION("""COMPUTED_VALUE"""),"AB_9746_D")</f>
        <v>AB_9746_D</v>
      </c>
      <c r="C1069" s="19" t="str">
        <f>IFERROR(__xludf.DUMMYFUNCTION("""COMPUTED_VALUE"""),"VA9746")</f>
        <v>VA9746</v>
      </c>
      <c r="D1069" s="19" t="str">
        <f>IFERROR(__xludf.DUMMYFUNCTION("""COMPUTED_VALUE"""),"Cuncumen Cerro")</f>
        <v>Cuncumen Cerro</v>
      </c>
      <c r="E1069" s="19" t="str">
        <f>IFERROR(__xludf.DUMMYFUNCTION("""COMPUTED_VALUE"""),"SITIO RFI")</f>
        <v>SITIO RFI</v>
      </c>
      <c r="F1069" s="19" t="str">
        <f>IFERROR(__xludf.DUMMYFUNCTION("""COMPUTED_VALUE"""),"RFI")</f>
        <v>RFI</v>
      </c>
      <c r="G1069" s="19" t="str">
        <f>IFERROR(__xludf.DUMMYFUNCTION("""COMPUTED_VALUE"""),"CV42")</f>
        <v>CV42</v>
      </c>
      <c r="H1069" s="19" t="str">
        <f>IFERROR(__xludf.DUMMYFUNCTION("""COMPUTED_VALUE"""),"SyC")</f>
        <v>SyC</v>
      </c>
      <c r="I1069" s="19" t="str">
        <f>IFERROR(__xludf.DUMMYFUNCTION("""COMPUTED_VALUE"""),"Entregada")</f>
        <v>Entregada</v>
      </c>
      <c r="J1069" s="20">
        <f>IFERROR(__xludf.DUMMYFUNCTION("""COMPUTED_VALUE"""),44769.0)</f>
        <v>44769</v>
      </c>
      <c r="K1069" s="19" t="str">
        <f>IFERROR(__xludf.DUMMYFUNCTION("""COMPUTED_VALUE"""),"Entregada")</f>
        <v>Entregada</v>
      </c>
      <c r="L1069" s="20">
        <f>IFERROR(__xludf.DUMMYFUNCTION("""COMPUTED_VALUE"""),44816.0)</f>
        <v>44816</v>
      </c>
      <c r="M1069" s="19" t="str">
        <f>IFERROR(__xludf.DUMMYFUNCTION("""COMPUTED_VALUE"""),"PCM")</f>
        <v>PCM</v>
      </c>
      <c r="N1069" s="19" t="str">
        <f>IFERROR(__xludf.DUMMYFUNCTION("""COMPUTED_VALUE"""),"PRIORIDAD 1 Q3 2023 OCTUBRE")</f>
        <v>PRIORIDAD 1 Q3 2023 OCTUBRE</v>
      </c>
    </row>
    <row r="1070" ht="15.75" customHeight="1">
      <c r="A1070" s="19" t="str">
        <f>IFERROR(__xludf.DUMMYFUNCTION("""COMPUTED_VALUE"""),"AB_9766")</f>
        <v>AB_9766</v>
      </c>
      <c r="B1070" s="19" t="str">
        <f>IFERROR(__xludf.DUMMYFUNCTION("""COMPUTED_VALUE"""),"AB_9766_C")</f>
        <v>AB_9766_C</v>
      </c>
      <c r="C1070" s="19" t="str">
        <f>IFERROR(__xludf.DUMMYFUNCTION("""COMPUTED_VALUE"""),"VA9766")</f>
        <v>VA9766</v>
      </c>
      <c r="D1070" s="19" t="str">
        <f>IFERROR(__xludf.DUMMYFUNCTION("""COMPUTED_VALUE"""),"Las Dichas")</f>
        <v>Las Dichas</v>
      </c>
      <c r="E1070" s="19" t="str">
        <f>IFERROR(__xludf.DUMMYFUNCTION("""COMPUTED_VALUE"""),"SITIO RFI")</f>
        <v>SITIO RFI</v>
      </c>
      <c r="F1070" s="19" t="str">
        <f>IFERROR(__xludf.DUMMYFUNCTION("""COMPUTED_VALUE"""),"RFI")</f>
        <v>RFI</v>
      </c>
      <c r="G1070" s="19" t="str">
        <f>IFERROR(__xludf.DUMMYFUNCTION("""COMPUTED_VALUE"""),"AS42")</f>
        <v>AS42</v>
      </c>
      <c r="H1070" s="19" t="str">
        <f>IFERROR(__xludf.DUMMYFUNCTION("""COMPUTED_VALUE"""),"DEITEL")</f>
        <v>DEITEL</v>
      </c>
      <c r="I1070" s="19" t="str">
        <f>IFERROR(__xludf.DUMMYFUNCTION("""COMPUTED_VALUE"""),"Entregada")</f>
        <v>Entregada</v>
      </c>
      <c r="J1070" s="20">
        <f>IFERROR(__xludf.DUMMYFUNCTION("""COMPUTED_VALUE"""),44705.0)</f>
        <v>44705</v>
      </c>
      <c r="K1070" s="19" t="str">
        <f>IFERROR(__xludf.DUMMYFUNCTION("""COMPUTED_VALUE"""),"Entregada")</f>
        <v>Entregada</v>
      </c>
      <c r="L1070" s="20">
        <f>IFERROR(__xludf.DUMMYFUNCTION("""COMPUTED_VALUE"""),44734.0)</f>
        <v>44734</v>
      </c>
      <c r="M1070" s="19" t="str">
        <f>IFERROR(__xludf.DUMMYFUNCTION("""COMPUTED_VALUE"""),"PCM")</f>
        <v>PCM</v>
      </c>
      <c r="N1070" s="19" t="str">
        <f>IFERROR(__xludf.DUMMYFUNCTION("""COMPUTED_VALUE"""),"PRIORIDAD 1 Q3 2023 OCTUBRE")</f>
        <v>PRIORIDAD 1 Q3 2023 OCTUBRE</v>
      </c>
    </row>
    <row r="1071" ht="15.75" customHeight="1">
      <c r="A1071" s="19" t="str">
        <f>IFERROR(__xludf.DUMMYFUNCTION("""COMPUTED_VALUE"""),"AB_9770")</f>
        <v>AB_9770</v>
      </c>
      <c r="B1071" s="19" t="str">
        <f>IFERROR(__xludf.DUMMYFUNCTION("""COMPUTED_VALUE"""),"AB_9770_A")</f>
        <v>AB_9770_A</v>
      </c>
      <c r="C1071" s="19" t="str">
        <f>IFERROR(__xludf.DUMMYFUNCTION("""COMPUTED_VALUE"""),"VA9770")</f>
        <v>VA9770</v>
      </c>
      <c r="D1071" s="19" t="str">
        <f>IFERROR(__xludf.DUMMYFUNCTION("""COMPUTED_VALUE"""),"Vaiu Isla de Pascua")</f>
        <v>Vaiu Isla de Pascua</v>
      </c>
      <c r="E1071" s="19" t="str">
        <f>IFERROR(__xludf.DUMMYFUNCTION("""COMPUTED_VALUE"""),"DETENIDO REGULACION")</f>
        <v>DETENIDO REGULACION</v>
      </c>
      <c r="F1071" s="19"/>
      <c r="G1071" s="19" t="str">
        <f>IFERROR(__xludf.DUMMYFUNCTION("""COMPUTED_VALUE"""),"MP R40")</f>
        <v>MP R40</v>
      </c>
      <c r="H1071" s="19" t="str">
        <f>IFERROR(__xludf.DUMMYFUNCTION("""COMPUTED_VALUE"""),"DEITEL")</f>
        <v>DEITEL</v>
      </c>
      <c r="I1071" s="19" t="str">
        <f>IFERROR(__xludf.DUMMYFUNCTION("""COMPUTED_VALUE"""),"Terminada")</f>
        <v>Terminada</v>
      </c>
      <c r="J1071" s="20">
        <f>IFERROR(__xludf.DUMMYFUNCTION("""COMPUTED_VALUE"""),44876.0)</f>
        <v>44876</v>
      </c>
      <c r="K1071" s="19" t="str">
        <f>IFERROR(__xludf.DUMMYFUNCTION("""COMPUTED_VALUE"""),"Por pintar ")</f>
        <v>Por pintar </v>
      </c>
      <c r="L1071" s="20">
        <f>IFERROR(__xludf.DUMMYFUNCTION("""COMPUTED_VALUE"""),44898.0)</f>
        <v>44898</v>
      </c>
      <c r="M1071" s="19" t="str">
        <f>IFERROR(__xludf.DUMMYFUNCTION("""COMPUTED_VALUE"""),"PCM")</f>
        <v>PCM</v>
      </c>
      <c r="N1071" s="19" t="str">
        <f>IFERROR(__xludf.DUMMYFUNCTION("""COMPUTED_VALUE"""),"PRIORIDAD 3 Q1 2024 MARZO")</f>
        <v>PRIORIDAD 3 Q1 2024 MARZO</v>
      </c>
    </row>
    <row r="1072" ht="15.75" customHeight="1">
      <c r="A1072" s="19" t="str">
        <f>IFERROR(__xludf.DUMMYFUNCTION("""COMPUTED_VALUE"""),"AB_9783")</f>
        <v>AB_9783</v>
      </c>
      <c r="B1072" s="19" t="str">
        <f>IFERROR(__xludf.DUMMYFUNCTION("""COMPUTED_VALUE"""),"AB_9783_B")</f>
        <v>AB_9783_B</v>
      </c>
      <c r="C1072" s="19" t="str">
        <f>IFERROR(__xludf.DUMMYFUNCTION("""COMPUTED_VALUE"""),"VA9783")</f>
        <v>VA9783</v>
      </c>
      <c r="D1072" s="19" t="str">
        <f>IFERROR(__xludf.DUMMYFUNCTION("""COMPUTED_VALUE"""),"La Nipa El Sobrante")</f>
        <v>La Nipa El Sobrante</v>
      </c>
      <c r="E1072" s="19" t="str">
        <f>IFERROR(__xludf.DUMMYFUNCTION("""COMPUTED_VALUE"""),"SITIO RFI")</f>
        <v>SITIO RFI</v>
      </c>
      <c r="F1072" s="19" t="str">
        <f>IFERROR(__xludf.DUMMYFUNCTION("""COMPUTED_VALUE"""),"RFI")</f>
        <v>RFI</v>
      </c>
      <c r="G1072" s="19" t="str">
        <f>IFERROR(__xludf.DUMMYFUNCTION("""COMPUTED_VALUE"""),"CV48")</f>
        <v>CV48</v>
      </c>
      <c r="H1072" s="19" t="str">
        <f>IFERROR(__xludf.DUMMYFUNCTION("""COMPUTED_VALUE"""),"JTI")</f>
        <v>JTI</v>
      </c>
      <c r="I1072" s="19" t="str">
        <f>IFERROR(__xludf.DUMMYFUNCTION("""COMPUTED_VALUE"""),"Entregada")</f>
        <v>Entregada</v>
      </c>
      <c r="J1072" s="20">
        <f>IFERROR(__xludf.DUMMYFUNCTION("""COMPUTED_VALUE"""),44736.0)</f>
        <v>44736</v>
      </c>
      <c r="K1072" s="19" t="str">
        <f>IFERROR(__xludf.DUMMYFUNCTION("""COMPUTED_VALUE"""),"Entregada")</f>
        <v>Entregada</v>
      </c>
      <c r="L1072" s="20">
        <f>IFERROR(__xludf.DUMMYFUNCTION("""COMPUTED_VALUE"""),44894.0)</f>
        <v>44894</v>
      </c>
      <c r="M1072" s="19" t="str">
        <f>IFERROR(__xludf.DUMMYFUNCTION("""COMPUTED_VALUE"""),"PCM_2")</f>
        <v>PCM_2</v>
      </c>
      <c r="N1072" s="19" t="str">
        <f>IFERROR(__xludf.DUMMYFUNCTION("""COMPUTED_VALUE"""),"PRIORIDAD 1 Q3 2023 OCTUBRE")</f>
        <v>PRIORIDAD 1 Q3 2023 OCTUBRE</v>
      </c>
    </row>
    <row r="1073" ht="15.75" customHeight="1">
      <c r="A1073" s="19" t="str">
        <f>IFERROR(__xludf.DUMMYFUNCTION("""COMPUTED_VALUE"""),"AB_9785")</f>
        <v>AB_9785</v>
      </c>
      <c r="B1073" s="19" t="str">
        <f>IFERROR(__xludf.DUMMYFUNCTION("""COMPUTED_VALUE"""),"AB_9785_I")</f>
        <v>AB_9785_I</v>
      </c>
      <c r="C1073" s="19" t="str">
        <f>IFERROR(__xludf.DUMMYFUNCTION("""COMPUTED_VALUE"""),"VA9785")</f>
        <v>VA9785</v>
      </c>
      <c r="D1073" s="19" t="str">
        <f>IFERROR(__xludf.DUMMYFUNCTION("""COMPUTED_VALUE"""),"Embalse Los Aromos")</f>
        <v>Embalse Los Aromos</v>
      </c>
      <c r="E1073" s="19" t="str">
        <f>IFERROR(__xludf.DUMMYFUNCTION("""COMPUTED_VALUE"""),"SITIO RFI")</f>
        <v>SITIO RFI</v>
      </c>
      <c r="F1073" s="19" t="str">
        <f>IFERROR(__xludf.DUMMYFUNCTION("""COMPUTED_VALUE"""),"RFI")</f>
        <v>RFI</v>
      </c>
      <c r="G1073" s="19" t="str">
        <f>IFERROR(__xludf.DUMMYFUNCTION("""COMPUTED_VALUE"""),"CV48")</f>
        <v>CV48</v>
      </c>
      <c r="H1073" s="19" t="str">
        <f>IFERROR(__xludf.DUMMYFUNCTION("""COMPUTED_VALUE"""),"JTI")</f>
        <v>JTI</v>
      </c>
      <c r="I1073" s="19" t="str">
        <f>IFERROR(__xludf.DUMMYFUNCTION("""COMPUTED_VALUE"""),"Entregada")</f>
        <v>Entregada</v>
      </c>
      <c r="J1073" s="20">
        <f>IFERROR(__xludf.DUMMYFUNCTION("""COMPUTED_VALUE"""),44859.0)</f>
        <v>44859</v>
      </c>
      <c r="K1073" s="19" t="str">
        <f>IFERROR(__xludf.DUMMYFUNCTION("""COMPUTED_VALUE"""),"Entregada")</f>
        <v>Entregada</v>
      </c>
      <c r="L1073" s="20">
        <f>IFERROR(__xludf.DUMMYFUNCTION("""COMPUTED_VALUE"""),44894.0)</f>
        <v>44894</v>
      </c>
      <c r="M1073" s="19" t="str">
        <f>IFERROR(__xludf.DUMMYFUNCTION("""COMPUTED_VALUE"""),"PCM")</f>
        <v>PCM</v>
      </c>
      <c r="N1073" s="19" t="str">
        <f>IFERROR(__xludf.DUMMYFUNCTION("""COMPUTED_VALUE"""),"PRIORIDAD 1 Q3 2023 OCTUBRE")</f>
        <v>PRIORIDAD 1 Q3 2023 OCTUBRE</v>
      </c>
    </row>
    <row r="1074" ht="15.75" customHeight="1">
      <c r="A1074" s="19" t="str">
        <f>IFERROR(__xludf.DUMMYFUNCTION("""COMPUTED_VALUE"""),"AB_9786")</f>
        <v>AB_9786</v>
      </c>
      <c r="B1074" s="19" t="str">
        <f>IFERROR(__xludf.DUMMYFUNCTION("""COMPUTED_VALUE"""),"AB_9786_A")</f>
        <v>AB_9786_A</v>
      </c>
      <c r="C1074" s="19" t="str">
        <f>IFERROR(__xludf.DUMMYFUNCTION("""COMPUTED_VALUE"""),"VA9786")</f>
        <v>VA9786</v>
      </c>
      <c r="D1074" s="19" t="str">
        <f>IFERROR(__xludf.DUMMYFUNCTION("""COMPUTED_VALUE"""),"Repetidor Canelillo")</f>
        <v>Repetidor Canelillo</v>
      </c>
      <c r="E1074" s="19" t="str">
        <f>IFERROR(__xludf.DUMMYFUNCTION("""COMPUTED_VALUE"""),"DETENIDO SAC")</f>
        <v>DETENIDO SAC</v>
      </c>
      <c r="F1074" s="19"/>
      <c r="G1074" s="19" t="str">
        <f>IFERROR(__xludf.DUMMYFUNCTION("""COMPUTED_VALUE"""),"CV60")</f>
        <v>CV60</v>
      </c>
      <c r="H1074" s="19" t="str">
        <f>IFERROR(__xludf.DUMMYFUNCTION("""COMPUTED_VALUE"""),"")</f>
        <v/>
      </c>
      <c r="I1074" s="19" t="str">
        <f>IFERROR(__xludf.DUMMYFUNCTION("""COMPUTED_VALUE"""),"")</f>
        <v/>
      </c>
      <c r="J1074" s="20" t="str">
        <f>IFERROR(__xludf.DUMMYFUNCTION("""COMPUTED_VALUE"""),"")</f>
        <v/>
      </c>
      <c r="K1074" s="19" t="str">
        <f>IFERROR(__xludf.DUMMYFUNCTION("""COMPUTED_VALUE"""),"")</f>
        <v/>
      </c>
      <c r="L1074" s="20" t="str">
        <f>IFERROR(__xludf.DUMMYFUNCTION("""COMPUTED_VALUE"""),"")</f>
        <v/>
      </c>
      <c r="M1074" s="19" t="str">
        <f>IFERROR(__xludf.DUMMYFUNCTION("""COMPUTED_VALUE"""),"PCM")</f>
        <v>PCM</v>
      </c>
      <c r="N1074" s="19" t="str">
        <f>IFERROR(__xludf.DUMMYFUNCTION("""COMPUTED_VALUE"""),"PRIORIDAD 3 Q1 2024 MARZO")</f>
        <v>PRIORIDAD 3 Q1 2024 MARZO</v>
      </c>
    </row>
    <row r="1075" ht="15.75" customHeight="1">
      <c r="A1075" s="19" t="str">
        <f>IFERROR(__xludf.DUMMYFUNCTION("""COMPUTED_VALUE"""),"AB_9801")</f>
        <v>AB_9801</v>
      </c>
      <c r="B1075" s="19" t="str">
        <f>IFERROR(__xludf.DUMMYFUNCTION("""COMPUTED_VALUE"""),"AB_9801_B")</f>
        <v>AB_9801_B</v>
      </c>
      <c r="C1075" s="19" t="str">
        <f>IFERROR(__xludf.DUMMYFUNCTION("""COMPUTED_VALUE"""),"VA9801")</f>
        <v>VA9801</v>
      </c>
      <c r="D1075" s="19" t="str">
        <f>IFERROR(__xludf.DUMMYFUNCTION("""COMPUTED_VALUE"""),"La Recova Algarrobo")</f>
        <v>La Recova Algarrobo</v>
      </c>
      <c r="E1075" s="19" t="str">
        <f>IFERROR(__xludf.DUMMYFUNCTION("""COMPUTED_VALUE"""),"SITIO RFI")</f>
        <v>SITIO RFI</v>
      </c>
      <c r="F1075" s="19" t="str">
        <f>IFERROR(__xludf.DUMMYFUNCTION("""COMPUTED_VALUE"""),"RFI")</f>
        <v>RFI</v>
      </c>
      <c r="G1075" s="19" t="str">
        <f>IFERROR(__xludf.DUMMYFUNCTION("""COMPUTED_VALUE"""),"CV36")</f>
        <v>CV36</v>
      </c>
      <c r="H1075" s="19" t="str">
        <f>IFERROR(__xludf.DUMMYFUNCTION("""COMPUTED_VALUE"""),"AJ")</f>
        <v>AJ</v>
      </c>
      <c r="I1075" s="19" t="str">
        <f>IFERROR(__xludf.DUMMYFUNCTION("""COMPUTED_VALUE"""),"Entregada")</f>
        <v>Entregada</v>
      </c>
      <c r="J1075" s="20">
        <f>IFERROR(__xludf.DUMMYFUNCTION("""COMPUTED_VALUE"""),44697.0)</f>
        <v>44697</v>
      </c>
      <c r="K1075" s="19" t="str">
        <f>IFERROR(__xludf.DUMMYFUNCTION("""COMPUTED_VALUE"""),"Entregada")</f>
        <v>Entregada</v>
      </c>
      <c r="L1075" s="20">
        <f>IFERROR(__xludf.DUMMYFUNCTION("""COMPUTED_VALUE"""),44790.0)</f>
        <v>44790</v>
      </c>
      <c r="M1075" s="19" t="str">
        <f>IFERROR(__xludf.DUMMYFUNCTION("""COMPUTED_VALUE"""),"PCM")</f>
        <v>PCM</v>
      </c>
      <c r="N1075" s="19" t="str">
        <f>IFERROR(__xludf.DUMMYFUNCTION("""COMPUTED_VALUE"""),"PRIORIDAD 1 Q3 2023 OCTUBRE")</f>
        <v>PRIORIDAD 1 Q3 2023 OCTUBRE</v>
      </c>
    </row>
    <row r="1076" ht="15.75" customHeight="1">
      <c r="A1076" s="19" t="str">
        <f>IFERROR(__xludf.DUMMYFUNCTION("""COMPUTED_VALUE"""),"AB_9803")</f>
        <v>AB_9803</v>
      </c>
      <c r="B1076" s="19" t="str">
        <f>IFERROR(__xludf.DUMMYFUNCTION("""COMPUTED_VALUE"""),"AB_9803_A")</f>
        <v>AB_9803_A</v>
      </c>
      <c r="C1076" s="19" t="str">
        <f>IFERROR(__xludf.DUMMYFUNCTION("""COMPUTED_VALUE"""),"VA9803")</f>
        <v>VA9803</v>
      </c>
      <c r="D1076" s="19" t="str">
        <f>IFERROR(__xludf.DUMMYFUNCTION("""COMPUTED_VALUE"""),"Enlace Costero Las Cruces")</f>
        <v>Enlace Costero Las Cruces</v>
      </c>
      <c r="E1076" s="19" t="str">
        <f>IFERROR(__xludf.DUMMYFUNCTION("""COMPUTED_VALUE"""),"DETENIDO COMPRA ESTRUCTURA")</f>
        <v>DETENIDO COMPRA ESTRUCTURA</v>
      </c>
      <c r="F1076" s="19"/>
      <c r="G1076" s="19" t="str">
        <f>IFERROR(__xludf.DUMMYFUNCTION("""COMPUTED_VALUE"""),"MP R40")</f>
        <v>MP R40</v>
      </c>
      <c r="H1076" s="19" t="str">
        <f>IFERROR(__xludf.DUMMYFUNCTION("""COMPUTED_VALUE"""),"")</f>
        <v/>
      </c>
      <c r="I1076" s="19" t="str">
        <f>IFERROR(__xludf.DUMMYFUNCTION("""COMPUTED_VALUE"""),"")</f>
        <v/>
      </c>
      <c r="J1076" s="20" t="str">
        <f>IFERROR(__xludf.DUMMYFUNCTION("""COMPUTED_VALUE"""),"")</f>
        <v/>
      </c>
      <c r="K1076" s="19" t="str">
        <f>IFERROR(__xludf.DUMMYFUNCTION("""COMPUTED_VALUE"""),"")</f>
        <v/>
      </c>
      <c r="L1076" s="20" t="str">
        <f>IFERROR(__xludf.DUMMYFUNCTION("""COMPUTED_VALUE"""),"")</f>
        <v/>
      </c>
      <c r="M1076" s="19" t="str">
        <f>IFERROR(__xludf.DUMMYFUNCTION("""COMPUTED_VALUE"""),"PCM")</f>
        <v>PCM</v>
      </c>
      <c r="N1076" s="19" t="str">
        <f>IFERROR(__xludf.DUMMYFUNCTION("""COMPUTED_VALUE"""),"PRIORIDAD 3 Q1 2024 MARZO")</f>
        <v>PRIORIDAD 3 Q1 2024 MARZO</v>
      </c>
    </row>
    <row r="1077" ht="15.75" customHeight="1">
      <c r="A1077" s="19" t="str">
        <f>IFERROR(__xludf.DUMMYFUNCTION("""COMPUTED_VALUE"""),"AB_9828")</f>
        <v>AB_9828</v>
      </c>
      <c r="B1077" s="19" t="str">
        <f>IFERROR(__xludf.DUMMYFUNCTION("""COMPUTED_VALUE"""),"AB_9828_B")</f>
        <v>AB_9828_B</v>
      </c>
      <c r="C1077" s="19" t="str">
        <f>IFERROR(__xludf.DUMMYFUNCTION("""COMPUTED_VALUE"""),"VA9828")</f>
        <v>VA9828</v>
      </c>
      <c r="D1077" s="19" t="str">
        <f>IFERROR(__xludf.DUMMYFUNCTION("""COMPUTED_VALUE"""),"Refineria Concon")</f>
        <v>Refineria Concon</v>
      </c>
      <c r="E1077" s="19" t="str">
        <f>IFERROR(__xludf.DUMMYFUNCTION("""COMPUTED_VALUE"""),"SITIO PENDIENTE")</f>
        <v>SITIO PENDIENTE</v>
      </c>
      <c r="F1077" s="19"/>
      <c r="G1077" s="19" t="str">
        <f>IFERROR(__xludf.DUMMYFUNCTION("""COMPUTED_VALUE"""),"MP R40")</f>
        <v>MP R40</v>
      </c>
      <c r="H1077" s="19" t="str">
        <f>IFERROR(__xludf.DUMMYFUNCTION("""COMPUTED_VALUE"""),"COMPRAS")</f>
        <v>COMPRAS</v>
      </c>
      <c r="I1077" s="19"/>
      <c r="J1077" s="19"/>
      <c r="K1077" s="19"/>
      <c r="L1077" s="19"/>
      <c r="M1077" s="19" t="str">
        <f>IFERROR(__xludf.DUMMYFUNCTION("""COMPUTED_VALUE"""),"#N/A")</f>
        <v>#N/A</v>
      </c>
      <c r="N1077" s="19" t="str">
        <f>IFERROR(__xludf.DUMMYFUNCTION("""COMPUTED_VALUE"""),"PRIORIDAD 3 Q1 2024 MARZO")</f>
        <v>PRIORIDAD 3 Q1 2024 MARZO</v>
      </c>
    </row>
    <row r="1078" ht="15.75" customHeight="1">
      <c r="A1078" s="19" t="str">
        <f>IFERROR(__xludf.DUMMYFUNCTION("""COMPUTED_VALUE"""),"AB_9917")</f>
        <v>AB_9917</v>
      </c>
      <c r="B1078" s="19" t="str">
        <f>IFERROR(__xludf.DUMMYFUNCTION("""COMPUTED_VALUE"""),"AB_9917_C")</f>
        <v>AB_9917_C</v>
      </c>
      <c r="C1078" s="19" t="str">
        <f>IFERROR(__xludf.DUMMYFUNCTION("""COMPUTED_VALUE"""),"VA9917")</f>
        <v>VA9917</v>
      </c>
      <c r="D1078" s="19" t="str">
        <f>IFERROR(__xludf.DUMMYFUNCTION("""COMPUTED_VALUE"""),"El Juncal Ruta 60H")</f>
        <v>El Juncal Ruta 60H</v>
      </c>
      <c r="E1078" s="19" t="str">
        <f>IFERROR(__xludf.DUMMYFUNCTION("""COMPUTED_VALUE"""),"DETENIDO SUBTEL")</f>
        <v>DETENIDO SUBTEL</v>
      </c>
      <c r="F1078" s="19"/>
      <c r="G1078" s="19" t="str">
        <f>IFERROR(__xludf.DUMMYFUNCTION("""COMPUTED_VALUE"""),"CV30")</f>
        <v>CV30</v>
      </c>
      <c r="H1078" s="19" t="str">
        <f>IFERROR(__xludf.DUMMYFUNCTION("""COMPUTED_VALUE"""),"MER")</f>
        <v>MER</v>
      </c>
      <c r="I1078" s="19" t="str">
        <f>IFERROR(__xludf.DUMMYFUNCTION("""COMPUTED_VALUE"""),"Terminada")</f>
        <v>Terminada</v>
      </c>
      <c r="J1078" s="20">
        <f>IFERROR(__xludf.DUMMYFUNCTION("""COMPUTED_VALUE"""),45051.0)</f>
        <v>45051</v>
      </c>
      <c r="K1078" s="19" t="str">
        <f>IFERROR(__xludf.DUMMYFUNCTION("""COMPUTED_VALUE"""),"Por pintar ")</f>
        <v>Por pintar </v>
      </c>
      <c r="L1078" s="20">
        <f>IFERROR(__xludf.DUMMYFUNCTION("""COMPUTED_VALUE"""),45054.0)</f>
        <v>45054</v>
      </c>
      <c r="M1078" s="19" t="str">
        <f>IFERROR(__xludf.DUMMYFUNCTION("""COMPUTED_VALUE"""),"PP")</f>
        <v>PP</v>
      </c>
      <c r="N1078" s="19" t="str">
        <f>IFERROR(__xludf.DUMMYFUNCTION("""COMPUTED_VALUE"""),"PRIORIDAD 1 Q3 2023 OCTUBRE")</f>
        <v>PRIORIDAD 1 Q3 2023 OCTUBRE</v>
      </c>
    </row>
    <row r="1079" ht="15.75" customHeight="1">
      <c r="A1079" s="19" t="str">
        <f>IFERROR(__xludf.DUMMYFUNCTION("""COMPUTED_VALUE"""),"AB_9919")</f>
        <v>AB_9919</v>
      </c>
      <c r="B1079" s="19" t="str">
        <f>IFERROR(__xludf.DUMMYFUNCTION("""COMPUTED_VALUE"""),"AB_9919_A")</f>
        <v>AB_9919_A</v>
      </c>
      <c r="C1079" s="19" t="str">
        <f>IFERROR(__xludf.DUMMYFUNCTION("""COMPUTED_VALUE"""),"VA9919")</f>
        <v>VA9919</v>
      </c>
      <c r="D1079" s="19" t="str">
        <f>IFERROR(__xludf.DUMMYFUNCTION("""COMPUTED_VALUE"""),"Guardia Vieja Ruta 60H")</f>
        <v>Guardia Vieja Ruta 60H</v>
      </c>
      <c r="E1079" s="19" t="str">
        <f>IFERROR(__xludf.DUMMYFUNCTION("""COMPUTED_VALUE"""),"SITIO EN CONSTRUCCION")</f>
        <v>SITIO EN CONSTRUCCION</v>
      </c>
      <c r="F1079" s="19" t="str">
        <f>IFERROR(__xludf.DUMMYFUNCTION("""COMPUTED_VALUE"""),"VISITA")</f>
        <v>VISITA</v>
      </c>
      <c r="G1079" s="19" t="str">
        <f>IFERROR(__xludf.DUMMYFUNCTION("""COMPUTED_VALUE"""),"CV48")</f>
        <v>CV48</v>
      </c>
      <c r="H1079" s="19" t="str">
        <f>IFERROR(__xludf.DUMMYFUNCTION("""COMPUTED_VALUE"""),"MER")</f>
        <v>MER</v>
      </c>
      <c r="I1079" s="19" t="str">
        <f>IFERROR(__xludf.DUMMYFUNCTION("""COMPUTED_VALUE"""),"Terminada")</f>
        <v>Terminada</v>
      </c>
      <c r="J1079" s="20">
        <f>IFERROR(__xludf.DUMMYFUNCTION("""COMPUTED_VALUE"""),45051.0)</f>
        <v>45051</v>
      </c>
      <c r="K1079" s="19" t="str">
        <f>IFERROR(__xludf.DUMMYFUNCTION("""COMPUTED_VALUE"""),"Por pintar ")</f>
        <v>Por pintar </v>
      </c>
      <c r="L1079" s="20">
        <f>IFERROR(__xludf.DUMMYFUNCTION("""COMPUTED_VALUE"""),45054.0)</f>
        <v>45054</v>
      </c>
      <c r="M1079" s="19" t="str">
        <f>IFERROR(__xludf.DUMMYFUNCTION("""COMPUTED_VALUE"""),"PP")</f>
        <v>PP</v>
      </c>
      <c r="N1079" s="19" t="str">
        <f>IFERROR(__xludf.DUMMYFUNCTION("""COMPUTED_VALUE"""),"PRIORIDAD 1 Q3 2023 OCTUBRE")</f>
        <v>PRIORIDAD 1 Q3 2023 OCTUBRE</v>
      </c>
    </row>
    <row r="1080" ht="15.75" customHeight="1">
      <c r="A1080" s="19" t="str">
        <f>IFERROR(__xludf.DUMMYFUNCTION("""COMPUTED_VALUE"""),"AB_9920")</f>
        <v>AB_9920</v>
      </c>
      <c r="B1080" s="19" t="str">
        <f>IFERROR(__xludf.DUMMYFUNCTION("""COMPUTED_VALUE"""),"AB_9920_A")</f>
        <v>AB_9920_A</v>
      </c>
      <c r="C1080" s="19" t="str">
        <f>IFERROR(__xludf.DUMMYFUNCTION("""COMPUTED_VALUE"""),"VA9920")</f>
        <v>VA9920</v>
      </c>
      <c r="D1080" s="19" t="str">
        <f>IFERROR(__xludf.DUMMYFUNCTION("""COMPUTED_VALUE"""),"Cuesta Caracoles")</f>
        <v>Cuesta Caracoles</v>
      </c>
      <c r="E1080" s="19" t="str">
        <f>IFERROR(__xludf.DUMMYFUNCTION("""COMPUTED_VALUE"""),"SITIO PENDIENTE")</f>
        <v>SITIO PENDIENTE</v>
      </c>
      <c r="F1080" s="19"/>
      <c r="G1080" s="19" t="str">
        <f>IFERROR(__xludf.DUMMYFUNCTION("""COMPUTED_VALUE"""),"CV24")</f>
        <v>CV24</v>
      </c>
      <c r="H1080" s="19" t="str">
        <f>IFERROR(__xludf.DUMMYFUNCTION("""COMPUTED_VALUE"""),"COMPRAS")</f>
        <v>COMPRAS</v>
      </c>
      <c r="I1080" s="19"/>
      <c r="J1080" s="20"/>
      <c r="K1080" s="19"/>
      <c r="L1080" s="20"/>
      <c r="M1080" s="19" t="str">
        <f>IFERROR(__xludf.DUMMYFUNCTION("""COMPUTED_VALUE"""),"PP")</f>
        <v>PP</v>
      </c>
      <c r="N1080" s="19" t="str">
        <f>IFERROR(__xludf.DUMMYFUNCTION("""COMPUTED_VALUE"""),"PRIORIDAD 2 Q4 2023 DICIEMBRE")</f>
        <v>PRIORIDAD 2 Q4 2023 DICIEMBRE</v>
      </c>
    </row>
    <row r="1081" ht="15.75" customHeight="1">
      <c r="A1081" s="19" t="str">
        <f>IFERROR(__xludf.DUMMYFUNCTION("""COMPUTED_VALUE"""),"AB_0882")</f>
        <v>AB_0882</v>
      </c>
      <c r="B1081" s="19" t="str">
        <f>IFERROR(__xludf.DUMMYFUNCTION("""COMPUTED_VALUE"""),"AB_0882_A")</f>
        <v>AB_0882_A</v>
      </c>
      <c r="C1081" s="19" t="str">
        <f>IFERROR(__xludf.DUMMYFUNCTION("""COMPUTED_VALUE"""),"AN0882")</f>
        <v>AN0882</v>
      </c>
      <c r="D1081" s="19" t="str">
        <f>IFERROR(__xludf.DUMMYFUNCTION("""COMPUTED_VALUE"""),"Minera Spence")</f>
        <v>Minera Spence</v>
      </c>
      <c r="E1081" s="19" t="str">
        <f>IFERROR(__xludf.DUMMYFUNCTION("""COMPUTED_VALUE"""),"SITIO RFC")</f>
        <v>SITIO RFC</v>
      </c>
      <c r="F1081" s="19"/>
      <c r="G1081" s="19" t="str">
        <f>IFERROR(__xludf.DUMMYFUNCTION("""COMPUTED_VALUE"""),"x")</f>
        <v>x</v>
      </c>
      <c r="H1081" s="19" t="str">
        <f>IFERROR(__xludf.DUMMYFUNCTION("""COMPUTED_VALUE"""),"x")</f>
        <v>x</v>
      </c>
      <c r="I1081" s="19" t="str">
        <f>IFERROR(__xludf.DUMMYFUNCTION("""COMPUTED_VALUE"""),"x")</f>
        <v>x</v>
      </c>
      <c r="J1081" s="20" t="str">
        <f>IFERROR(__xludf.DUMMYFUNCTION("""COMPUTED_VALUE"""),"x")</f>
        <v>x</v>
      </c>
      <c r="K1081" s="19" t="str">
        <f>IFERROR(__xludf.DUMMYFUNCTION("""COMPUTED_VALUE"""),"x")</f>
        <v>x</v>
      </c>
      <c r="L1081" s="20" t="str">
        <f>IFERROR(__xludf.DUMMYFUNCTION("""COMPUTED_VALUE"""),"x")</f>
        <v>x</v>
      </c>
      <c r="M1081" s="19" t="str">
        <f>IFERROR(__xludf.DUMMYFUNCTION("""COMPUTED_VALUE"""),"PP")</f>
        <v>PP</v>
      </c>
      <c r="N1081" s="19" t="str">
        <f>IFERROR(__xludf.DUMMYFUNCTION("""COMPUTED_VALUE"""),"PRIORIDAD 3 Q1 2024 MARZO")</f>
        <v>PRIORIDAD 3 Q1 2024 MARZO</v>
      </c>
    </row>
    <row r="1082" ht="15.75" customHeight="1">
      <c r="A1082" s="19" t="str">
        <f>IFERROR(__xludf.DUMMYFUNCTION("""COMPUTED_VALUE"""),"AB_0939")</f>
        <v>AB_0939</v>
      </c>
      <c r="B1082" s="19" t="str">
        <f>IFERROR(__xludf.DUMMYFUNCTION("""COMPUTED_VALUE"""),"AB_0939_H")</f>
        <v>AB_0939_H</v>
      </c>
      <c r="C1082" s="19" t="str">
        <f>IFERROR(__xludf.DUMMYFUNCTION("""COMPUTED_VALUE"""),"AN0939")</f>
        <v>AN0939</v>
      </c>
      <c r="D1082" s="19" t="str">
        <f>IFERROR(__xludf.DUMMYFUNCTION("""COMPUTED_VALUE"""),"Puerto Angamos")</f>
        <v>Puerto Angamos</v>
      </c>
      <c r="E1082" s="19" t="str">
        <f>IFERROR(__xludf.DUMMYFUNCTION("""COMPUTED_VALUE"""),"SITIO RFI")</f>
        <v>SITIO RFI</v>
      </c>
      <c r="F1082" s="19"/>
      <c r="G1082" s="19" t="str">
        <f>IFERROR(__xludf.DUMMYFUNCTION("""COMPUTED_VALUE"""),"x")</f>
        <v>x</v>
      </c>
      <c r="H1082" s="19" t="str">
        <f>IFERROR(__xludf.DUMMYFUNCTION("""COMPUTED_VALUE"""),"x")</f>
        <v>x</v>
      </c>
      <c r="I1082" s="19" t="str">
        <f>IFERROR(__xludf.DUMMYFUNCTION("""COMPUTED_VALUE"""),"x")</f>
        <v>x</v>
      </c>
      <c r="J1082" s="20" t="str">
        <f>IFERROR(__xludf.DUMMYFUNCTION("""COMPUTED_VALUE"""),"x")</f>
        <v>x</v>
      </c>
      <c r="K1082" s="19" t="str">
        <f>IFERROR(__xludf.DUMMYFUNCTION("""COMPUTED_VALUE"""),"x")</f>
        <v>x</v>
      </c>
      <c r="L1082" s="20" t="str">
        <f>IFERROR(__xludf.DUMMYFUNCTION("""COMPUTED_VALUE"""),"x")</f>
        <v>x</v>
      </c>
      <c r="M1082" s="19" t="str">
        <f>IFERROR(__xludf.DUMMYFUNCTION("""COMPUTED_VALUE"""),"PCM")</f>
        <v>PCM</v>
      </c>
      <c r="N1082" s="19" t="str">
        <f>IFERROR(__xludf.DUMMYFUNCTION("""COMPUTED_VALUE"""),"PRIORIDAD 1 Q3 2023 OCTUBRE")</f>
        <v>PRIORIDAD 1 Q3 2023 OCTUBRE</v>
      </c>
    </row>
    <row r="1083" ht="15.75" customHeight="1">
      <c r="A1083" s="19" t="str">
        <f>IFERROR(__xludf.DUMMYFUNCTION("""COMPUTED_VALUE"""),"AB_10002")</f>
        <v>AB_10002</v>
      </c>
      <c r="B1083" s="19" t="str">
        <f>IFERROR(__xludf.DUMMYFUNCTION("""COMPUTED_VALUE"""),"AB_10002_B")</f>
        <v>AB_10002_B</v>
      </c>
      <c r="C1083" s="19" t="str">
        <f>IFERROR(__xludf.DUMMYFUNCTION("""COMPUTED_VALUE"""),"AN10002")</f>
        <v>AN10002</v>
      </c>
      <c r="D1083" s="19" t="str">
        <f>IFERROR(__xludf.DUMMYFUNCTION("""COMPUTED_VALUE"""),"Punta Grande")</f>
        <v>Punta Grande</v>
      </c>
      <c r="E1083" s="19" t="str">
        <f>IFERROR(__xludf.DUMMYFUNCTION("""COMPUTED_VALUE"""),"SITIO RFI")</f>
        <v>SITIO RFI</v>
      </c>
      <c r="F1083" s="19"/>
      <c r="G1083" s="19" t="str">
        <f>IFERROR(__xludf.DUMMYFUNCTION("""COMPUTED_VALUE"""),"x")</f>
        <v>x</v>
      </c>
      <c r="H1083" s="19" t="str">
        <f>IFERROR(__xludf.DUMMYFUNCTION("""COMPUTED_VALUE"""),"x")</f>
        <v>x</v>
      </c>
      <c r="I1083" s="19" t="str">
        <f>IFERROR(__xludf.DUMMYFUNCTION("""COMPUTED_VALUE"""),"x")</f>
        <v>x</v>
      </c>
      <c r="J1083" s="20" t="str">
        <f>IFERROR(__xludf.DUMMYFUNCTION("""COMPUTED_VALUE"""),"x")</f>
        <v>x</v>
      </c>
      <c r="K1083" s="19" t="str">
        <f>IFERROR(__xludf.DUMMYFUNCTION("""COMPUTED_VALUE"""),"x")</f>
        <v>x</v>
      </c>
      <c r="L1083" s="20" t="str">
        <f>IFERROR(__xludf.DUMMYFUNCTION("""COMPUTED_VALUE"""),"x")</f>
        <v>x</v>
      </c>
      <c r="M1083" s="19" t="str">
        <f>IFERROR(__xludf.DUMMYFUNCTION("""COMPUTED_VALUE"""),"PCM")</f>
        <v>PCM</v>
      </c>
      <c r="N1083" s="19" t="str">
        <f>IFERROR(__xludf.DUMMYFUNCTION("""COMPUTED_VALUE"""),"PRIORIDAD 1 Q3 2023 OCTUBRE")</f>
        <v>PRIORIDAD 1 Q3 2023 OCTUBRE</v>
      </c>
    </row>
    <row r="1084" ht="15.75" customHeight="1">
      <c r="A1084" s="19" t="str">
        <f>IFERROR(__xludf.DUMMYFUNCTION("""COMPUTED_VALUE"""),"AB_10010")</f>
        <v>AB_10010</v>
      </c>
      <c r="B1084" s="19" t="str">
        <f>IFERROR(__xludf.DUMMYFUNCTION("""COMPUTED_VALUE"""),"AB_10010_A")</f>
        <v>AB_10010_A</v>
      </c>
      <c r="C1084" s="19" t="str">
        <f>IFERROR(__xludf.DUMMYFUNCTION("""COMPUTED_VALUE"""),"AN10010")</f>
        <v>AN10010</v>
      </c>
      <c r="D1084" s="19" t="str">
        <f>IFERROR(__xludf.DUMMYFUNCTION("""COMPUTED_VALUE"""),"Punta Yayes")</f>
        <v>Punta Yayes</v>
      </c>
      <c r="E1084" s="19" t="str">
        <f>IFERROR(__xludf.DUMMYFUNCTION("""COMPUTED_VALUE"""),"SITIO RFI")</f>
        <v>SITIO RFI</v>
      </c>
      <c r="F1084" s="19"/>
      <c r="G1084" s="19" t="str">
        <f>IFERROR(__xludf.DUMMYFUNCTION("""COMPUTED_VALUE"""),"x")</f>
        <v>x</v>
      </c>
      <c r="H1084" s="19" t="str">
        <f>IFERROR(__xludf.DUMMYFUNCTION("""COMPUTED_VALUE"""),"x")</f>
        <v>x</v>
      </c>
      <c r="I1084" s="19" t="str">
        <f>IFERROR(__xludf.DUMMYFUNCTION("""COMPUTED_VALUE"""),"x")</f>
        <v>x</v>
      </c>
      <c r="J1084" s="20" t="str">
        <f>IFERROR(__xludf.DUMMYFUNCTION("""COMPUTED_VALUE"""),"x")</f>
        <v>x</v>
      </c>
      <c r="K1084" s="19" t="str">
        <f>IFERROR(__xludf.DUMMYFUNCTION("""COMPUTED_VALUE"""),"x")</f>
        <v>x</v>
      </c>
      <c r="L1084" s="20" t="str">
        <f>IFERROR(__xludf.DUMMYFUNCTION("""COMPUTED_VALUE"""),"x")</f>
        <v>x</v>
      </c>
      <c r="M1084" s="19" t="str">
        <f>IFERROR(__xludf.DUMMYFUNCTION("""COMPUTED_VALUE"""),"PP")</f>
        <v>PP</v>
      </c>
      <c r="N1084" s="19" t="str">
        <f>IFERROR(__xludf.DUMMYFUNCTION("""COMPUTED_VALUE"""),"PRIORIDAD 2 Q4 2023 DICIEMBRE")</f>
        <v>PRIORIDAD 2 Q4 2023 DICIEMBRE</v>
      </c>
    </row>
    <row r="1085" ht="15.75" customHeight="1">
      <c r="A1085" s="19" t="str">
        <f>IFERROR(__xludf.DUMMYFUNCTION("""COMPUTED_VALUE"""),"AB_1633")</f>
        <v>AB_1633</v>
      </c>
      <c r="B1085" s="19" t="str">
        <f>IFERROR(__xludf.DUMMYFUNCTION("""COMPUTED_VALUE"""),"AB_1633_D")</f>
        <v>AB_1633_D</v>
      </c>
      <c r="C1085" s="19" t="str">
        <f>IFERROR(__xludf.DUMMYFUNCTION("""COMPUTED_VALUE"""),"AN1633")</f>
        <v>AN1633</v>
      </c>
      <c r="D1085" s="19" t="str">
        <f>IFERROR(__xludf.DUMMYFUNCTION("""COMPUTED_VALUE"""),"Baquedano")</f>
        <v>Baquedano</v>
      </c>
      <c r="E1085" s="19" t="str">
        <f>IFERROR(__xludf.DUMMYFUNCTION("""COMPUTED_VALUE"""),"SITIO RFI")</f>
        <v>SITIO RFI</v>
      </c>
      <c r="F1085" s="19"/>
      <c r="G1085" s="19" t="str">
        <f>IFERROR(__xludf.DUMMYFUNCTION("""COMPUTED_VALUE"""),"x")</f>
        <v>x</v>
      </c>
      <c r="H1085" s="19" t="str">
        <f>IFERROR(__xludf.DUMMYFUNCTION("""COMPUTED_VALUE"""),"x")</f>
        <v>x</v>
      </c>
      <c r="I1085" s="19" t="str">
        <f>IFERROR(__xludf.DUMMYFUNCTION("""COMPUTED_VALUE"""),"x")</f>
        <v>x</v>
      </c>
      <c r="J1085" s="20" t="str">
        <f>IFERROR(__xludf.DUMMYFUNCTION("""COMPUTED_VALUE"""),"x")</f>
        <v>x</v>
      </c>
      <c r="K1085" s="19" t="str">
        <f>IFERROR(__xludf.DUMMYFUNCTION("""COMPUTED_VALUE"""),"x")</f>
        <v>x</v>
      </c>
      <c r="L1085" s="20" t="str">
        <f>IFERROR(__xludf.DUMMYFUNCTION("""COMPUTED_VALUE"""),"x")</f>
        <v>x</v>
      </c>
      <c r="M1085" s="19" t="str">
        <f>IFERROR(__xludf.DUMMYFUNCTION("""COMPUTED_VALUE"""),"PCM")</f>
        <v>PCM</v>
      </c>
      <c r="N1085" s="19" t="str">
        <f>IFERROR(__xludf.DUMMYFUNCTION("""COMPUTED_VALUE"""),"PRIORIDAD 1 Q3 2023 OCTUBRE")</f>
        <v>PRIORIDAD 1 Q3 2023 OCTUBRE</v>
      </c>
    </row>
    <row r="1086" ht="15.75" customHeight="1">
      <c r="A1086" s="19" t="str">
        <f>IFERROR(__xludf.DUMMYFUNCTION("""COMPUTED_VALUE"""),"AB_1654")</f>
        <v>AB_1654</v>
      </c>
      <c r="B1086" s="19" t="str">
        <f>IFERROR(__xludf.DUMMYFUNCTION("""COMPUTED_VALUE"""),"AB_1654_D")</f>
        <v>AB_1654_D</v>
      </c>
      <c r="C1086" s="19" t="str">
        <f>IFERROR(__xludf.DUMMYFUNCTION("""COMPUTED_VALUE"""),"AN1654")</f>
        <v>AN1654</v>
      </c>
      <c r="D1086" s="19" t="str">
        <f>IFERROR(__xludf.DUMMYFUNCTION("""COMPUTED_VALUE"""),"Michila")</f>
        <v>Michila</v>
      </c>
      <c r="E1086" s="19" t="str">
        <f>IFERROR(__xludf.DUMMYFUNCTION("""COMPUTED_VALUE"""),"SITIO PENDIENTE")</f>
        <v>SITIO PENDIENTE</v>
      </c>
      <c r="F1086" s="19"/>
      <c r="G1086" s="19" t="str">
        <f>IFERROR(__xludf.DUMMYFUNCTION("""COMPUTED_VALUE"""),"AS60")</f>
        <v>AS60</v>
      </c>
      <c r="H1086" s="19" t="str">
        <f>IFERROR(__xludf.DUMMYFUNCTION("""COMPUTED_VALUE"""),"COMPRAS")</f>
        <v>COMPRAS</v>
      </c>
      <c r="I1086" s="19"/>
      <c r="J1086" s="20"/>
      <c r="K1086" s="19"/>
      <c r="L1086" s="20"/>
      <c r="M1086" s="19" t="str">
        <f>IFERROR(__xludf.DUMMYFUNCTION("""COMPUTED_VALUE"""),"PP")</f>
        <v>PP</v>
      </c>
      <c r="N1086" s="19" t="str">
        <f>IFERROR(__xludf.DUMMYFUNCTION("""COMPUTED_VALUE"""),"PRIORIDAD 2 Q4 2023 DICIEMBRE")</f>
        <v>PRIORIDAD 2 Q4 2023 DICIEMBRE</v>
      </c>
    </row>
    <row r="1087" ht="15.75" customHeight="1">
      <c r="A1087" s="19" t="str">
        <f>IFERROR(__xludf.DUMMYFUNCTION("""COMPUTED_VALUE"""),"AB_2223")</f>
        <v>AB_2223</v>
      </c>
      <c r="B1087" s="19" t="str">
        <f>IFERROR(__xludf.DUMMYFUNCTION("""COMPUTED_VALUE"""),"AB_2223_B")</f>
        <v>AB_2223_B</v>
      </c>
      <c r="C1087" s="19" t="str">
        <f>IFERROR(__xludf.DUMMYFUNCTION("""COMPUTED_VALUE"""),"AN2223")</f>
        <v>AN2223</v>
      </c>
      <c r="D1087" s="19" t="str">
        <f>IFERROR(__xludf.DUMMYFUNCTION("""COMPUTED_VALUE"""),"Carmen Alto Cerro")</f>
        <v>Carmen Alto Cerro</v>
      </c>
      <c r="E1087" s="19" t="str">
        <f>IFERROR(__xludf.DUMMYFUNCTION("""COMPUTED_VALUE"""),"SITIO RFI")</f>
        <v>SITIO RFI</v>
      </c>
      <c r="F1087" s="19"/>
      <c r="G1087" s="19" t="str">
        <f>IFERROR(__xludf.DUMMYFUNCTION("""COMPUTED_VALUE"""),"x")</f>
        <v>x</v>
      </c>
      <c r="H1087" s="19" t="str">
        <f>IFERROR(__xludf.DUMMYFUNCTION("""COMPUTED_VALUE"""),"x")</f>
        <v>x</v>
      </c>
      <c r="I1087" s="19" t="str">
        <f>IFERROR(__xludf.DUMMYFUNCTION("""COMPUTED_VALUE"""),"x")</f>
        <v>x</v>
      </c>
      <c r="J1087" s="20" t="str">
        <f>IFERROR(__xludf.DUMMYFUNCTION("""COMPUTED_VALUE"""),"x")</f>
        <v>x</v>
      </c>
      <c r="K1087" s="19" t="str">
        <f>IFERROR(__xludf.DUMMYFUNCTION("""COMPUTED_VALUE"""),"x")</f>
        <v>x</v>
      </c>
      <c r="L1087" s="20" t="str">
        <f>IFERROR(__xludf.DUMMYFUNCTION("""COMPUTED_VALUE"""),"x")</f>
        <v>x</v>
      </c>
      <c r="M1087" s="19" t="str">
        <f>IFERROR(__xludf.DUMMYFUNCTION("""COMPUTED_VALUE"""),"PP")</f>
        <v>PP</v>
      </c>
      <c r="N1087" s="19" t="str">
        <f>IFERROR(__xludf.DUMMYFUNCTION("""COMPUTED_VALUE"""),"PRIORIDAD 2 Q4 2023 DICIEMBRE")</f>
        <v>PRIORIDAD 2 Q4 2023 DICIEMBRE</v>
      </c>
    </row>
    <row r="1088" ht="15.75" customHeight="1">
      <c r="A1088" s="19" t="str">
        <f>IFERROR(__xludf.DUMMYFUNCTION("""COMPUTED_VALUE"""),"AB_2627")</f>
        <v>AB_2627</v>
      </c>
      <c r="B1088" s="19" t="str">
        <f>IFERROR(__xludf.DUMMYFUNCTION("""COMPUTED_VALUE"""),"AB_2627_B")</f>
        <v>AB_2627_B</v>
      </c>
      <c r="C1088" s="19" t="str">
        <f>IFERROR(__xludf.DUMMYFUNCTION("""COMPUTED_VALUE"""),"AN2627")</f>
        <v>AN2627</v>
      </c>
      <c r="D1088" s="19" t="str">
        <f>IFERROR(__xludf.DUMMYFUNCTION("""COMPUTED_VALUE"""),"Quillagua")</f>
        <v>Quillagua</v>
      </c>
      <c r="E1088" s="19" t="str">
        <f>IFERROR(__xludf.DUMMYFUNCTION("""COMPUTED_VALUE"""),"SITIO RFI")</f>
        <v>SITIO RFI</v>
      </c>
      <c r="F1088" s="19"/>
      <c r="G1088" s="19" t="str">
        <f>IFERROR(__xludf.DUMMYFUNCTION("""COMPUTED_VALUE"""),"x")</f>
        <v>x</v>
      </c>
      <c r="H1088" s="19" t="str">
        <f>IFERROR(__xludf.DUMMYFUNCTION("""COMPUTED_VALUE"""),"x")</f>
        <v>x</v>
      </c>
      <c r="I1088" s="19" t="str">
        <f>IFERROR(__xludf.DUMMYFUNCTION("""COMPUTED_VALUE"""),"x")</f>
        <v>x</v>
      </c>
      <c r="J1088" s="20" t="str">
        <f>IFERROR(__xludf.DUMMYFUNCTION("""COMPUTED_VALUE"""),"x")</f>
        <v>x</v>
      </c>
      <c r="K1088" s="19" t="str">
        <f>IFERROR(__xludf.DUMMYFUNCTION("""COMPUTED_VALUE"""),"x")</f>
        <v>x</v>
      </c>
      <c r="L1088" s="20" t="str">
        <f>IFERROR(__xludf.DUMMYFUNCTION("""COMPUTED_VALUE"""),"x")</f>
        <v>x</v>
      </c>
      <c r="M1088" s="19" t="str">
        <f>IFERROR(__xludf.DUMMYFUNCTION("""COMPUTED_VALUE"""),"PCM")</f>
        <v>PCM</v>
      </c>
      <c r="N1088" s="19" t="str">
        <f>IFERROR(__xludf.DUMMYFUNCTION("""COMPUTED_VALUE"""),"PRIORIDAD 1 Q3 2023 OCTUBRE")</f>
        <v>PRIORIDAD 1 Q3 2023 OCTUBRE</v>
      </c>
    </row>
    <row r="1089" ht="15.75" customHeight="1">
      <c r="A1089" s="19" t="str">
        <f>IFERROR(__xludf.DUMMYFUNCTION("""COMPUTED_VALUE"""),"AB_9517")</f>
        <v>AB_9517</v>
      </c>
      <c r="B1089" s="19" t="str">
        <f>IFERROR(__xludf.DUMMYFUNCTION("""COMPUTED_VALUE"""),"AB_9517_A")</f>
        <v>AB_9517_A</v>
      </c>
      <c r="C1089" s="19" t="str">
        <f>IFERROR(__xludf.DUMMYFUNCTION("""COMPUTED_VALUE"""),"AN9517")</f>
        <v>AN9517</v>
      </c>
      <c r="D1089" s="19" t="str">
        <f>IFERROR(__xludf.DUMMYFUNCTION("""COMPUTED_VALUE"""),"Estacion Varillas")</f>
        <v>Estacion Varillas</v>
      </c>
      <c r="E1089" s="19" t="str">
        <f>IFERROR(__xludf.DUMMYFUNCTION("""COMPUTED_VALUE"""),"SITIO RFI")</f>
        <v>SITIO RFI</v>
      </c>
      <c r="F1089" s="19"/>
      <c r="G1089" s="19" t="str">
        <f>IFERROR(__xludf.DUMMYFUNCTION("""COMPUTED_VALUE"""),"x")</f>
        <v>x</v>
      </c>
      <c r="H1089" s="19" t="str">
        <f>IFERROR(__xludf.DUMMYFUNCTION("""COMPUTED_VALUE"""),"x")</f>
        <v>x</v>
      </c>
      <c r="I1089" s="19" t="str">
        <f>IFERROR(__xludf.DUMMYFUNCTION("""COMPUTED_VALUE"""),"x")</f>
        <v>x</v>
      </c>
      <c r="J1089" s="20" t="str">
        <f>IFERROR(__xludf.DUMMYFUNCTION("""COMPUTED_VALUE"""),"x")</f>
        <v>x</v>
      </c>
      <c r="K1089" s="19" t="str">
        <f>IFERROR(__xludf.DUMMYFUNCTION("""COMPUTED_VALUE"""),"x")</f>
        <v>x</v>
      </c>
      <c r="L1089" s="20" t="str">
        <f>IFERROR(__xludf.DUMMYFUNCTION("""COMPUTED_VALUE"""),"x")</f>
        <v>x</v>
      </c>
      <c r="M1089" s="19" t="str">
        <f>IFERROR(__xludf.DUMMYFUNCTION("""COMPUTED_VALUE"""),"PP")</f>
        <v>PP</v>
      </c>
      <c r="N1089" s="19" t="str">
        <f>IFERROR(__xludf.DUMMYFUNCTION("""COMPUTED_VALUE"""),"PRIORIDAD 2 Q4 2023 DICIEMBRE")</f>
        <v>PRIORIDAD 2 Q4 2023 DICIEMBRE</v>
      </c>
    </row>
    <row r="1090" ht="15.75" customHeight="1">
      <c r="A1090" s="19" t="str">
        <f>IFERROR(__xludf.DUMMYFUNCTION("""COMPUTED_VALUE"""),"AB_10595")</f>
        <v>AB_10595</v>
      </c>
      <c r="B1090" s="19" t="str">
        <f>IFERROR(__xludf.DUMMYFUNCTION("""COMPUTED_VALUE"""),"AB_10595_B")</f>
        <v>AB_10595_B</v>
      </c>
      <c r="C1090" s="19" t="str">
        <f>IFERROR(__xludf.DUMMYFUNCTION("""COMPUTED_VALUE"""),"AP10595")</f>
        <v>AP10595</v>
      </c>
      <c r="D1090" s="19" t="str">
        <f>IFERROR(__xludf.DUMMYFUNCTION("""COMPUTED_VALUE"""),"RPT Pocon Chile")</f>
        <v>RPT Pocon Chile</v>
      </c>
      <c r="E1090" s="19" t="str">
        <f>IFERROR(__xludf.DUMMYFUNCTION("""COMPUTED_VALUE"""),"SITIO RFI")</f>
        <v>SITIO RFI</v>
      </c>
      <c r="F1090" s="19"/>
      <c r="G1090" s="19" t="str">
        <f>IFERROR(__xludf.DUMMYFUNCTION("""COMPUTED_VALUE"""),"x")</f>
        <v>x</v>
      </c>
      <c r="H1090" s="19" t="str">
        <f>IFERROR(__xludf.DUMMYFUNCTION("""COMPUTED_VALUE"""),"x")</f>
        <v>x</v>
      </c>
      <c r="I1090" s="19" t="str">
        <f>IFERROR(__xludf.DUMMYFUNCTION("""COMPUTED_VALUE"""),"x")</f>
        <v>x</v>
      </c>
      <c r="J1090" s="20" t="str">
        <f>IFERROR(__xludf.DUMMYFUNCTION("""COMPUTED_VALUE"""),"x")</f>
        <v>x</v>
      </c>
      <c r="K1090" s="19" t="str">
        <f>IFERROR(__xludf.DUMMYFUNCTION("""COMPUTED_VALUE"""),"x")</f>
        <v>x</v>
      </c>
      <c r="L1090" s="20" t="str">
        <f>IFERROR(__xludf.DUMMYFUNCTION("""COMPUTED_VALUE"""),"x")</f>
        <v>x</v>
      </c>
      <c r="M1090" s="19" t="str">
        <f>IFERROR(__xludf.DUMMYFUNCTION("""COMPUTED_VALUE"""),"PCM_3")</f>
        <v>PCM_3</v>
      </c>
      <c r="N1090" s="19" t="str">
        <f>IFERROR(__xludf.DUMMYFUNCTION("""COMPUTED_VALUE"""),"PRIORIDAD 3 Q1 2024 MARZO")</f>
        <v>PRIORIDAD 3 Q1 2024 MARZO</v>
      </c>
    </row>
    <row r="1091" ht="15.75" customHeight="1">
      <c r="A1091" s="19" t="str">
        <f>IFERROR(__xludf.DUMMYFUNCTION("""COMPUTED_VALUE"""),"AB_8802")</f>
        <v>AB_8802</v>
      </c>
      <c r="B1091" s="19" t="str">
        <f>IFERROR(__xludf.DUMMYFUNCTION("""COMPUTED_VALUE"""),"AB_8802_B")</f>
        <v>AB_8802_B</v>
      </c>
      <c r="C1091" s="19" t="str">
        <f>IFERROR(__xludf.DUMMYFUNCTION("""COMPUTED_VALUE"""),"AP8802")</f>
        <v>AP8802</v>
      </c>
      <c r="D1091" s="19" t="str">
        <f>IFERROR(__xludf.DUMMYFUNCTION("""COMPUTED_VALUE"""),"Quebrada Camarones")</f>
        <v>Quebrada Camarones</v>
      </c>
      <c r="E1091" s="19" t="str">
        <f>IFERROR(__xludf.DUMMYFUNCTION("""COMPUTED_VALUE"""),"SITIO RFI")</f>
        <v>SITIO RFI</v>
      </c>
      <c r="F1091" s="19"/>
      <c r="G1091" s="19" t="str">
        <f>IFERROR(__xludf.DUMMYFUNCTION("""COMPUTED_VALUE"""),"x")</f>
        <v>x</v>
      </c>
      <c r="H1091" s="19" t="str">
        <f>IFERROR(__xludf.DUMMYFUNCTION("""COMPUTED_VALUE"""),"x")</f>
        <v>x</v>
      </c>
      <c r="I1091" s="19" t="str">
        <f>IFERROR(__xludf.DUMMYFUNCTION("""COMPUTED_VALUE"""),"x")</f>
        <v>x</v>
      </c>
      <c r="J1091" s="20" t="str">
        <f>IFERROR(__xludf.DUMMYFUNCTION("""COMPUTED_VALUE"""),"x")</f>
        <v>x</v>
      </c>
      <c r="K1091" s="19" t="str">
        <f>IFERROR(__xludf.DUMMYFUNCTION("""COMPUTED_VALUE"""),"x")</f>
        <v>x</v>
      </c>
      <c r="L1091" s="20" t="str">
        <f>IFERROR(__xludf.DUMMYFUNCTION("""COMPUTED_VALUE"""),"x")</f>
        <v>x</v>
      </c>
      <c r="M1091" s="19" t="str">
        <f>IFERROR(__xludf.DUMMYFUNCTION("""COMPUTED_VALUE"""),"PCM")</f>
        <v>PCM</v>
      </c>
      <c r="N1091" s="19" t="str">
        <f>IFERROR(__xludf.DUMMYFUNCTION("""COMPUTED_VALUE"""),"PRIORIDAD 1 Q3 2023 OCTUBRE")</f>
        <v>PRIORIDAD 1 Q3 2023 OCTUBRE</v>
      </c>
    </row>
    <row r="1092" ht="15.75" customHeight="1">
      <c r="A1092" s="19" t="str">
        <f>IFERROR(__xludf.DUMMYFUNCTION("""COMPUTED_VALUE"""),"AB_9466")</f>
        <v>AB_9466</v>
      </c>
      <c r="B1092" s="19" t="str">
        <f>IFERROR(__xludf.DUMMYFUNCTION("""COMPUTED_VALUE"""),"AB_9466_A")</f>
        <v>AB_9466_A</v>
      </c>
      <c r="C1092" s="19" t="str">
        <f>IFERROR(__xludf.DUMMYFUNCTION("""COMPUTED_VALUE"""),"AP9466")</f>
        <v>AP9466</v>
      </c>
      <c r="D1092" s="19" t="str">
        <f>IFERROR(__xludf.DUMMYFUNCTION("""COMPUTED_VALUE"""),"Ruta A -35 Calachoco")</f>
        <v>Ruta A -35 Calachoco</v>
      </c>
      <c r="E1092" s="19" t="str">
        <f>IFERROR(__xludf.DUMMYFUNCTION("""COMPUTED_VALUE"""),"DETENIDO FUERA DE PLAN")</f>
        <v>DETENIDO FUERA DE PLAN</v>
      </c>
      <c r="F1092" s="19"/>
      <c r="G1092" s="19" t="str">
        <f>IFERROR(__xludf.DUMMYFUNCTION("""COMPUTED_VALUE"""),"x")</f>
        <v>x</v>
      </c>
      <c r="H1092" s="19" t="str">
        <f>IFERROR(__xludf.DUMMYFUNCTION("""COMPUTED_VALUE"""),"x")</f>
        <v>x</v>
      </c>
      <c r="I1092" s="19" t="str">
        <f>IFERROR(__xludf.DUMMYFUNCTION("""COMPUTED_VALUE"""),"x")</f>
        <v>x</v>
      </c>
      <c r="J1092" s="20" t="str">
        <f>IFERROR(__xludf.DUMMYFUNCTION("""COMPUTED_VALUE"""),"x")</f>
        <v>x</v>
      </c>
      <c r="K1092" s="19" t="str">
        <f>IFERROR(__xludf.DUMMYFUNCTION("""COMPUTED_VALUE"""),"x")</f>
        <v>x</v>
      </c>
      <c r="L1092" s="20" t="str">
        <f>IFERROR(__xludf.DUMMYFUNCTION("""COMPUTED_VALUE"""),"x")</f>
        <v>x</v>
      </c>
      <c r="M1092" s="19" t="str">
        <f>IFERROR(__xludf.DUMMYFUNCTION("""COMPUTED_VALUE"""),"PP")</f>
        <v>PP</v>
      </c>
      <c r="N1092" s="19" t="str">
        <f>IFERROR(__xludf.DUMMYFUNCTION("""COMPUTED_VALUE"""),"PRIORIDAD 2 Q4 2023 DICIEMBRE")</f>
        <v>PRIORIDAD 2 Q4 2023 DICIEMBRE</v>
      </c>
    </row>
    <row r="1093" ht="15.75" customHeight="1">
      <c r="A1093" s="19" t="str">
        <f>IFERROR(__xludf.DUMMYFUNCTION("""COMPUTED_VALUE"""),"AB_9468")</f>
        <v>AB_9468</v>
      </c>
      <c r="B1093" s="19" t="str">
        <f>IFERROR(__xludf.DUMMYFUNCTION("""COMPUTED_VALUE"""),"AB_9468_A")</f>
        <v>AB_9468_A</v>
      </c>
      <c r="C1093" s="19" t="str">
        <f>IFERROR(__xludf.DUMMYFUNCTION("""COMPUTED_VALUE"""),"AP9468")</f>
        <v>AP9468</v>
      </c>
      <c r="D1093" s="19" t="str">
        <f>IFERROR(__xludf.DUMMYFUNCTION("""COMPUTED_VALUE"""),"Timar")</f>
        <v>Timar</v>
      </c>
      <c r="E1093" s="19" t="str">
        <f>IFERROR(__xludf.DUMMYFUNCTION("""COMPUTED_VALUE"""),"DETENIDO TORRERO")</f>
        <v>DETENIDO TORRERO</v>
      </c>
      <c r="F1093" s="19"/>
      <c r="G1093" s="19" t="str">
        <f>IFERROR(__xludf.DUMMYFUNCTION("""COMPUTED_VALUE"""),"x")</f>
        <v>x</v>
      </c>
      <c r="H1093" s="19" t="str">
        <f>IFERROR(__xludf.DUMMYFUNCTION("""COMPUTED_VALUE"""),"x")</f>
        <v>x</v>
      </c>
      <c r="I1093" s="19" t="str">
        <f>IFERROR(__xludf.DUMMYFUNCTION("""COMPUTED_VALUE"""),"x")</f>
        <v>x</v>
      </c>
      <c r="J1093" s="20" t="str">
        <f>IFERROR(__xludf.DUMMYFUNCTION("""COMPUTED_VALUE"""),"x")</f>
        <v>x</v>
      </c>
      <c r="K1093" s="19" t="str">
        <f>IFERROR(__xludf.DUMMYFUNCTION("""COMPUTED_VALUE"""),"x")</f>
        <v>x</v>
      </c>
      <c r="L1093" s="20" t="str">
        <f>IFERROR(__xludf.DUMMYFUNCTION("""COMPUTED_VALUE"""),"x")</f>
        <v>x</v>
      </c>
      <c r="M1093" s="19" t="str">
        <f>IFERROR(__xludf.DUMMYFUNCTION("""COMPUTED_VALUE"""),"PP")</f>
        <v>PP</v>
      </c>
      <c r="N1093" s="19" t="str">
        <f>IFERROR(__xludf.DUMMYFUNCTION("""COMPUTED_VALUE"""),"PRIORIDAD 2 Q4 2023 DICIEMBRE")</f>
        <v>PRIORIDAD 2 Q4 2023 DICIEMBRE</v>
      </c>
    </row>
    <row r="1094" ht="15.75" customHeight="1">
      <c r="A1094" s="19" t="str">
        <f>IFERROR(__xludf.DUMMYFUNCTION("""COMPUTED_VALUE"""),"AB_9952")</f>
        <v>AB_9952</v>
      </c>
      <c r="B1094" s="19" t="str">
        <f>IFERROR(__xludf.DUMMYFUNCTION("""COMPUTED_VALUE"""),"AB_9952_A")</f>
        <v>AB_9952_A</v>
      </c>
      <c r="C1094" s="19" t="str">
        <f>IFERROR(__xludf.DUMMYFUNCTION("""COMPUTED_VALUE"""),"AP9952")</f>
        <v>AP9952</v>
      </c>
      <c r="D1094" s="19" t="str">
        <f>IFERROR(__xludf.DUMMYFUNCTION("""COMPUTED_VALUE"""),"Cuesta El Aguila")</f>
        <v>Cuesta El Aguila</v>
      </c>
      <c r="E1094" s="19" t="str">
        <f>IFERROR(__xludf.DUMMYFUNCTION("""COMPUTED_VALUE"""),"SITIO RFC")</f>
        <v>SITIO RFC</v>
      </c>
      <c r="F1094" s="19"/>
      <c r="G1094" s="19" t="str">
        <f>IFERROR(__xludf.DUMMYFUNCTION("""COMPUTED_VALUE"""),"x")</f>
        <v>x</v>
      </c>
      <c r="H1094" s="19" t="str">
        <f>IFERROR(__xludf.DUMMYFUNCTION("""COMPUTED_VALUE"""),"x")</f>
        <v>x</v>
      </c>
      <c r="I1094" s="19" t="str">
        <f>IFERROR(__xludf.DUMMYFUNCTION("""COMPUTED_VALUE"""),"x")</f>
        <v>x</v>
      </c>
      <c r="J1094" s="20" t="str">
        <f>IFERROR(__xludf.DUMMYFUNCTION("""COMPUTED_VALUE"""),"x")</f>
        <v>x</v>
      </c>
      <c r="K1094" s="19" t="str">
        <f>IFERROR(__xludf.DUMMYFUNCTION("""COMPUTED_VALUE"""),"x")</f>
        <v>x</v>
      </c>
      <c r="L1094" s="20" t="str">
        <f>IFERROR(__xludf.DUMMYFUNCTION("""COMPUTED_VALUE"""),"x")</f>
        <v>x</v>
      </c>
      <c r="M1094" s="19" t="str">
        <f>IFERROR(__xludf.DUMMYFUNCTION("""COMPUTED_VALUE"""),"PP")</f>
        <v>PP</v>
      </c>
      <c r="N1094" s="19" t="str">
        <f>IFERROR(__xludf.DUMMYFUNCTION("""COMPUTED_VALUE"""),"PRIORIDAD 2 Q4 2023 DICIEMBRE")</f>
        <v>PRIORIDAD 2 Q4 2023 DICIEMBRE</v>
      </c>
    </row>
    <row r="1095" ht="15.75" customHeight="1">
      <c r="A1095" s="19" t="str">
        <f>IFERROR(__xludf.DUMMYFUNCTION("""COMPUTED_VALUE"""),"AB_9959")</f>
        <v>AB_9959</v>
      </c>
      <c r="B1095" s="19" t="str">
        <f>IFERROR(__xludf.DUMMYFUNCTION("""COMPUTED_VALUE"""),"AB_9959_A")</f>
        <v>AB_9959_A</v>
      </c>
      <c r="C1095" s="19" t="str">
        <f>IFERROR(__xludf.DUMMYFUNCTION("""COMPUTED_VALUE"""),"AP9959")</f>
        <v>AP9959</v>
      </c>
      <c r="D1095" s="19" t="str">
        <f>IFERROR(__xludf.DUMMYFUNCTION("""COMPUTED_VALUE"""),"Camino Termal Jurasi")</f>
        <v>Camino Termal Jurasi</v>
      </c>
      <c r="E1095" s="19" t="str">
        <f>IFERROR(__xludf.DUMMYFUNCTION("""COMPUTED_VALUE"""),"DETENIDO SAC")</f>
        <v>DETENIDO SAC</v>
      </c>
      <c r="F1095" s="19"/>
      <c r="G1095" s="19" t="str">
        <f>IFERROR(__xludf.DUMMYFUNCTION("""COMPUTED_VALUE"""),"x")</f>
        <v>x</v>
      </c>
      <c r="H1095" s="19" t="str">
        <f>IFERROR(__xludf.DUMMYFUNCTION("""COMPUTED_VALUE"""),"x")</f>
        <v>x</v>
      </c>
      <c r="I1095" s="19" t="str">
        <f>IFERROR(__xludf.DUMMYFUNCTION("""COMPUTED_VALUE"""),"x")</f>
        <v>x</v>
      </c>
      <c r="J1095" s="20" t="str">
        <f>IFERROR(__xludf.DUMMYFUNCTION("""COMPUTED_VALUE"""),"x")</f>
        <v>x</v>
      </c>
      <c r="K1095" s="19" t="str">
        <f>IFERROR(__xludf.DUMMYFUNCTION("""COMPUTED_VALUE"""),"x")</f>
        <v>x</v>
      </c>
      <c r="L1095" s="20" t="str">
        <f>IFERROR(__xludf.DUMMYFUNCTION("""COMPUTED_VALUE"""),"x")</f>
        <v>x</v>
      </c>
      <c r="M1095" s="19" t="str">
        <f>IFERROR(__xludf.DUMMYFUNCTION("""COMPUTED_VALUE"""),"PP")</f>
        <v>PP</v>
      </c>
      <c r="N1095" s="19" t="str">
        <f>IFERROR(__xludf.DUMMYFUNCTION("""COMPUTED_VALUE"""),"PRIORIDAD 1 Q3 2023 OCTUBRE")</f>
        <v>PRIORIDAD 1 Q3 2023 OCTUBRE</v>
      </c>
    </row>
    <row r="1096" ht="15.75" customHeight="1">
      <c r="A1096" s="19" t="str">
        <f>IFERROR(__xludf.DUMMYFUNCTION("""COMPUTED_VALUE"""),"AB_10408")</f>
        <v>AB_10408</v>
      </c>
      <c r="B1096" s="19" t="str">
        <f>IFERROR(__xludf.DUMMYFUNCTION("""COMPUTED_VALUE"""),"AB_10408_A")</f>
        <v>AB_10408_A</v>
      </c>
      <c r="C1096" s="19" t="str">
        <f>IFERROR(__xludf.DUMMYFUNCTION("""COMPUTED_VALUE"""),"AR10408")</f>
        <v>AR10408</v>
      </c>
      <c r="D1096" s="19" t="str">
        <f>IFERROR(__xludf.DUMMYFUNCTION("""COMPUTED_VALUE"""),"LLOO Rio Plata")</f>
        <v>LLOO Rio Plata</v>
      </c>
      <c r="E1096" s="19" t="str">
        <f>IFERROR(__xludf.DUMMYFUNCTION("""COMPUTED_VALUE"""),"SITIO RFI")</f>
        <v>SITIO RFI</v>
      </c>
      <c r="F1096" s="19"/>
      <c r="G1096" s="19" t="str">
        <f>IFERROR(__xludf.DUMMYFUNCTION("""COMPUTED_VALUE"""),"x")</f>
        <v>x</v>
      </c>
      <c r="H1096" s="19" t="str">
        <f>IFERROR(__xludf.DUMMYFUNCTION("""COMPUTED_VALUE"""),"x")</f>
        <v>x</v>
      </c>
      <c r="I1096" s="19" t="str">
        <f>IFERROR(__xludf.DUMMYFUNCTION("""COMPUTED_VALUE"""),"x")</f>
        <v>x</v>
      </c>
      <c r="J1096" s="20" t="str">
        <f>IFERROR(__xludf.DUMMYFUNCTION("""COMPUTED_VALUE"""),"x")</f>
        <v>x</v>
      </c>
      <c r="K1096" s="19" t="str">
        <f>IFERROR(__xludf.DUMMYFUNCTION("""COMPUTED_VALUE"""),"x")</f>
        <v>x</v>
      </c>
      <c r="L1096" s="20" t="str">
        <f>IFERROR(__xludf.DUMMYFUNCTION("""COMPUTED_VALUE"""),"x")</f>
        <v>x</v>
      </c>
      <c r="M1096" s="19" t="str">
        <f>IFERROR(__xludf.DUMMYFUNCTION("""COMPUTED_VALUE"""),"LLOO")</f>
        <v>LLOO</v>
      </c>
      <c r="N1096" s="19" t="str">
        <f>IFERROR(__xludf.DUMMYFUNCTION("""COMPUTED_VALUE"""),"PRIORIDAD 1 Q3 2023 OCTUBRE")</f>
        <v>PRIORIDAD 1 Q3 2023 OCTUBRE</v>
      </c>
    </row>
    <row r="1097" ht="15.75" customHeight="1">
      <c r="A1097" s="19" t="str">
        <f>IFERROR(__xludf.DUMMYFUNCTION("""COMPUTED_VALUE"""),"AB_10438")</f>
        <v>AB_10438</v>
      </c>
      <c r="B1097" s="19" t="str">
        <f>IFERROR(__xludf.DUMMYFUNCTION("""COMPUTED_VALUE"""),"AB_10438_A")</f>
        <v>AB_10438_A</v>
      </c>
      <c r="C1097" s="19" t="str">
        <f>IFERROR(__xludf.DUMMYFUNCTION("""COMPUTED_VALUE"""),"AR10438")</f>
        <v>AR10438</v>
      </c>
      <c r="D1097" s="19" t="str">
        <f>IFERROR(__xludf.DUMMYFUNCTION("""COMPUTED_VALUE"""),"LLOO Pehuenco")</f>
        <v>LLOO Pehuenco</v>
      </c>
      <c r="E1097" s="19" t="str">
        <f>IFERROR(__xludf.DUMMYFUNCTION("""COMPUTED_VALUE"""),"SITIO RFI")</f>
        <v>SITIO RFI</v>
      </c>
      <c r="F1097" s="19"/>
      <c r="G1097" s="19" t="str">
        <f>IFERROR(__xludf.DUMMYFUNCTION("""COMPUTED_VALUE"""),"x")</f>
        <v>x</v>
      </c>
      <c r="H1097" s="19" t="str">
        <f>IFERROR(__xludf.DUMMYFUNCTION("""COMPUTED_VALUE"""),"x")</f>
        <v>x</v>
      </c>
      <c r="I1097" s="19" t="str">
        <f>IFERROR(__xludf.DUMMYFUNCTION("""COMPUTED_VALUE"""),"x")</f>
        <v>x</v>
      </c>
      <c r="J1097" s="20" t="str">
        <f>IFERROR(__xludf.DUMMYFUNCTION("""COMPUTED_VALUE"""),"x")</f>
        <v>x</v>
      </c>
      <c r="K1097" s="19" t="str">
        <f>IFERROR(__xludf.DUMMYFUNCTION("""COMPUTED_VALUE"""),"x")</f>
        <v>x</v>
      </c>
      <c r="L1097" s="20" t="str">
        <f>IFERROR(__xludf.DUMMYFUNCTION("""COMPUTED_VALUE"""),"x")</f>
        <v>x</v>
      </c>
      <c r="M1097" s="19" t="str">
        <f>IFERROR(__xludf.DUMMYFUNCTION("""COMPUTED_VALUE"""),"LLOO")</f>
        <v>LLOO</v>
      </c>
      <c r="N1097" s="19" t="str">
        <f>IFERROR(__xludf.DUMMYFUNCTION("""COMPUTED_VALUE"""),"PRIORIDAD 1 Q3 2023 OCTUBRE")</f>
        <v>PRIORIDAD 1 Q3 2023 OCTUBRE</v>
      </c>
    </row>
    <row r="1098" ht="15.75" customHeight="1">
      <c r="A1098" s="19" t="str">
        <f>IFERROR(__xludf.DUMMYFUNCTION("""COMPUTED_VALUE"""),"AB_10613")</f>
        <v>AB_10613</v>
      </c>
      <c r="B1098" s="19" t="str">
        <f>IFERROR(__xludf.DUMMYFUNCTION("""COMPUTED_VALUE"""),"AB_10613_B")</f>
        <v>AB_10613_B</v>
      </c>
      <c r="C1098" s="19" t="str">
        <f>IFERROR(__xludf.DUMMYFUNCTION("""COMPUTED_VALUE"""),"AR10613")</f>
        <v>AR10613</v>
      </c>
      <c r="D1098" s="19" t="str">
        <f>IFERROR(__xludf.DUMMYFUNCTION("""COMPUTED_VALUE"""),"RPT_Pichipellahuen")</f>
        <v>RPT_Pichipellahuen</v>
      </c>
      <c r="E1098" s="19" t="str">
        <f>IFERROR(__xludf.DUMMYFUNCTION("""COMPUTED_VALUE"""),"SITIO RFI")</f>
        <v>SITIO RFI</v>
      </c>
      <c r="F1098" s="19"/>
      <c r="G1098" s="19" t="str">
        <f>IFERROR(__xludf.DUMMYFUNCTION("""COMPUTED_VALUE"""),"x")</f>
        <v>x</v>
      </c>
      <c r="H1098" s="19" t="str">
        <f>IFERROR(__xludf.DUMMYFUNCTION("""COMPUTED_VALUE"""),"x")</f>
        <v>x</v>
      </c>
      <c r="I1098" s="19" t="str">
        <f>IFERROR(__xludf.DUMMYFUNCTION("""COMPUTED_VALUE"""),"x")</f>
        <v>x</v>
      </c>
      <c r="J1098" s="20" t="str">
        <f>IFERROR(__xludf.DUMMYFUNCTION("""COMPUTED_VALUE"""),"x")</f>
        <v>x</v>
      </c>
      <c r="K1098" s="19" t="str">
        <f>IFERROR(__xludf.DUMMYFUNCTION("""COMPUTED_VALUE"""),"x")</f>
        <v>x</v>
      </c>
      <c r="L1098" s="20" t="str">
        <f>IFERROR(__xludf.DUMMYFUNCTION("""COMPUTED_VALUE"""),"x")</f>
        <v>x</v>
      </c>
      <c r="M1098" s="19" t="str">
        <f>IFERROR(__xludf.DUMMYFUNCTION("""COMPUTED_VALUE"""),"PCM_3")</f>
        <v>PCM_3</v>
      </c>
      <c r="N1098" s="19" t="str">
        <f>IFERROR(__xludf.DUMMYFUNCTION("""COMPUTED_VALUE"""),"PRIORIDAD 3 Q1 2024 MARZO")</f>
        <v>PRIORIDAD 3 Q1 2024 MARZO</v>
      </c>
    </row>
    <row r="1099" ht="15.75" customHeight="1">
      <c r="A1099" s="19" t="str">
        <f>IFERROR(__xludf.DUMMYFUNCTION("""COMPUTED_VALUE"""),"AB_11319")</f>
        <v>AB_11319</v>
      </c>
      <c r="B1099" s="19" t="str">
        <f>IFERROR(__xludf.DUMMYFUNCTION("""COMPUTED_VALUE"""),"AB_11319_A")</f>
        <v>AB_11319_A</v>
      </c>
      <c r="C1099" s="19" t="str">
        <f>IFERROR(__xludf.DUMMYFUNCTION("""COMPUTED_VALUE"""),"AR11319")</f>
        <v>AR11319</v>
      </c>
      <c r="D1099" s="19" t="str">
        <f>IFERROR(__xludf.DUMMYFUNCTION("""COMPUTED_VALUE"""),"Mune Alto Pitrufquen")</f>
        <v>Mune Alto Pitrufquen</v>
      </c>
      <c r="E1099" s="19" t="str">
        <f>IFERROR(__xludf.DUMMYFUNCTION("""COMPUTED_VALUE"""),"SITIO RFI")</f>
        <v>SITIO RFI</v>
      </c>
      <c r="F1099" s="19"/>
      <c r="G1099" s="19" t="str">
        <f>IFERROR(__xludf.DUMMYFUNCTION("""COMPUTED_VALUE"""),"x")</f>
        <v>x</v>
      </c>
      <c r="H1099" s="19" t="str">
        <f>IFERROR(__xludf.DUMMYFUNCTION("""COMPUTED_VALUE"""),"x")</f>
        <v>x</v>
      </c>
      <c r="I1099" s="19" t="str">
        <f>IFERROR(__xludf.DUMMYFUNCTION("""COMPUTED_VALUE"""),"x")</f>
        <v>x</v>
      </c>
      <c r="J1099" s="20" t="str">
        <f>IFERROR(__xludf.DUMMYFUNCTION("""COMPUTED_VALUE"""),"x")</f>
        <v>x</v>
      </c>
      <c r="K1099" s="19" t="str">
        <f>IFERROR(__xludf.DUMMYFUNCTION("""COMPUTED_VALUE"""),"x")</f>
        <v>x</v>
      </c>
      <c r="L1099" s="20" t="str">
        <f>IFERROR(__xludf.DUMMYFUNCTION("""COMPUTED_VALUE"""),"x")</f>
        <v>x</v>
      </c>
      <c r="M1099" s="19" t="str">
        <f>IFERROR(__xludf.DUMMYFUNCTION("""COMPUTED_VALUE"""),"PCM_2")</f>
        <v>PCM_2</v>
      </c>
      <c r="N1099" s="19" t="str">
        <f>IFERROR(__xludf.DUMMYFUNCTION("""COMPUTED_VALUE"""),"PRIORIDAD 1 Q3 2023 OCTUBRE")</f>
        <v>PRIORIDAD 1 Q3 2023 OCTUBRE</v>
      </c>
    </row>
    <row r="1100" ht="15.75" customHeight="1">
      <c r="A1100" s="19" t="str">
        <f>IFERROR(__xludf.DUMMYFUNCTION("""COMPUTED_VALUE"""),"AB_2171")</f>
        <v>AB_2171</v>
      </c>
      <c r="B1100" s="19" t="str">
        <f>IFERROR(__xludf.DUMMYFUNCTION("""COMPUTED_VALUE"""),"AB_2171_D")</f>
        <v>AB_2171_D</v>
      </c>
      <c r="C1100" s="19" t="str">
        <f>IFERROR(__xludf.DUMMYFUNCTION("""COMPUTED_VALUE"""),"AR2171")</f>
        <v>AR2171</v>
      </c>
      <c r="D1100" s="19" t="str">
        <f>IFERROR(__xludf.DUMMYFUNCTION("""COMPUTED_VALUE"""),"Rucapillan")</f>
        <v>Rucapillan</v>
      </c>
      <c r="E1100" s="19" t="str">
        <f>IFERROR(__xludf.DUMMYFUNCTION("""COMPUTED_VALUE"""),"SITIO RFI")</f>
        <v>SITIO RFI</v>
      </c>
      <c r="F1100" s="19"/>
      <c r="G1100" s="19" t="str">
        <f>IFERROR(__xludf.DUMMYFUNCTION("""COMPUTED_VALUE"""),"x")</f>
        <v>x</v>
      </c>
      <c r="H1100" s="19" t="str">
        <f>IFERROR(__xludf.DUMMYFUNCTION("""COMPUTED_VALUE"""),"x")</f>
        <v>x</v>
      </c>
      <c r="I1100" s="19" t="str">
        <f>IFERROR(__xludf.DUMMYFUNCTION("""COMPUTED_VALUE"""),"x")</f>
        <v>x</v>
      </c>
      <c r="J1100" s="20" t="str">
        <f>IFERROR(__xludf.DUMMYFUNCTION("""COMPUTED_VALUE"""),"x")</f>
        <v>x</v>
      </c>
      <c r="K1100" s="19" t="str">
        <f>IFERROR(__xludf.DUMMYFUNCTION("""COMPUTED_VALUE"""),"x")</f>
        <v>x</v>
      </c>
      <c r="L1100" s="20" t="str">
        <f>IFERROR(__xludf.DUMMYFUNCTION("""COMPUTED_VALUE"""),"x")</f>
        <v>x</v>
      </c>
      <c r="M1100" s="19" t="str">
        <f>IFERROR(__xludf.DUMMYFUNCTION("""COMPUTED_VALUE"""),"PCM")</f>
        <v>PCM</v>
      </c>
      <c r="N1100" s="19" t="str">
        <f>IFERROR(__xludf.DUMMYFUNCTION("""COMPUTED_VALUE"""),"PRIORIDAD 1 Q3 2023 OCTUBRE")</f>
        <v>PRIORIDAD 1 Q3 2023 OCTUBRE</v>
      </c>
    </row>
    <row r="1101" ht="15.75" customHeight="1">
      <c r="A1101" s="19" t="str">
        <f>IFERROR(__xludf.DUMMYFUNCTION("""COMPUTED_VALUE"""),"AB_6535")</f>
        <v>AB_6535</v>
      </c>
      <c r="B1101" s="19" t="str">
        <f>IFERROR(__xludf.DUMMYFUNCTION("""COMPUTED_VALUE"""),"AB_6535_H")</f>
        <v>AB_6535_H</v>
      </c>
      <c r="C1101" s="19" t="str">
        <f>IFERROR(__xludf.DUMMYFUNCTION("""COMPUTED_VALUE"""),"AR6535")</f>
        <v>AR6535</v>
      </c>
      <c r="D1101" s="19" t="str">
        <f>IFERROR(__xludf.DUMMYFUNCTION("""COMPUTED_VALUE"""),"Camino Padre Las Casas Maquehue")</f>
        <v>Camino Padre Las Casas Maquehue</v>
      </c>
      <c r="E1101" s="19" t="str">
        <f>IFERROR(__xludf.DUMMYFUNCTION("""COMPUTED_VALUE"""),"DETENIDO ASUNTOS PUBLICOS")</f>
        <v>DETENIDO ASUNTOS PUBLICOS</v>
      </c>
      <c r="F1101" s="19"/>
      <c r="G1101" s="19" t="str">
        <f>IFERROR(__xludf.DUMMYFUNCTION("""COMPUTED_VALUE"""),"AZOTEA")</f>
        <v>AZOTEA</v>
      </c>
      <c r="H1101" s="19" t="str">
        <f>IFERROR(__xludf.DUMMYFUNCTION("""COMPUTED_VALUE"""),"x")</f>
        <v>x</v>
      </c>
      <c r="I1101" s="19" t="str">
        <f>IFERROR(__xludf.DUMMYFUNCTION("""COMPUTED_VALUE"""),"x")</f>
        <v>x</v>
      </c>
      <c r="J1101" s="20" t="str">
        <f>IFERROR(__xludf.DUMMYFUNCTION("""COMPUTED_VALUE"""),"x")</f>
        <v>x</v>
      </c>
      <c r="K1101" s="19" t="str">
        <f>IFERROR(__xludf.DUMMYFUNCTION("""COMPUTED_VALUE"""),"x")</f>
        <v>x</v>
      </c>
      <c r="L1101" s="20" t="str">
        <f>IFERROR(__xludf.DUMMYFUNCTION("""COMPUTED_VALUE"""),"x")</f>
        <v>x</v>
      </c>
      <c r="M1101" s="19" t="str">
        <f>IFERROR(__xludf.DUMMYFUNCTION("""COMPUTED_VALUE"""),"PCM")</f>
        <v>PCM</v>
      </c>
      <c r="N1101" s="19" t="str">
        <f>IFERROR(__xludf.DUMMYFUNCTION("""COMPUTED_VALUE"""),"PRIORIDAD 3 Q1 2024 MARZO")</f>
        <v>PRIORIDAD 3 Q1 2024 MARZO</v>
      </c>
    </row>
    <row r="1102" ht="15.75" customHeight="1">
      <c r="A1102" s="19" t="str">
        <f>IFERROR(__xludf.DUMMYFUNCTION("""COMPUTED_VALUE"""),"AB_6896")</f>
        <v>AB_6896</v>
      </c>
      <c r="B1102" s="19" t="str">
        <f>IFERROR(__xludf.DUMMYFUNCTION("""COMPUTED_VALUE"""),"AB_6896_C")</f>
        <v>AB_6896_C</v>
      </c>
      <c r="C1102" s="19" t="str">
        <f>IFERROR(__xludf.DUMMYFUNCTION("""COMPUTED_VALUE"""),"AR6896")</f>
        <v>AR6896</v>
      </c>
      <c r="D1102" s="19" t="str">
        <f>IFERROR(__xludf.DUMMYFUNCTION("""COMPUTED_VALUE"""),"Cerro Chumay")</f>
        <v>Cerro Chumay</v>
      </c>
      <c r="E1102" s="19" t="str">
        <f>IFERROR(__xludf.DUMMYFUNCTION("""COMPUTED_VALUE"""),"SITIO RFI")</f>
        <v>SITIO RFI</v>
      </c>
      <c r="F1102" s="19"/>
      <c r="G1102" s="19" t="str">
        <f>IFERROR(__xludf.DUMMYFUNCTION("""COMPUTED_VALUE"""),"x")</f>
        <v>x</v>
      </c>
      <c r="H1102" s="19" t="str">
        <f>IFERROR(__xludf.DUMMYFUNCTION("""COMPUTED_VALUE"""),"x")</f>
        <v>x</v>
      </c>
      <c r="I1102" s="19" t="str">
        <f>IFERROR(__xludf.DUMMYFUNCTION("""COMPUTED_VALUE"""),"x")</f>
        <v>x</v>
      </c>
      <c r="J1102" s="20" t="str">
        <f>IFERROR(__xludf.DUMMYFUNCTION("""COMPUTED_VALUE"""),"x")</f>
        <v>x</v>
      </c>
      <c r="K1102" s="19" t="str">
        <f>IFERROR(__xludf.DUMMYFUNCTION("""COMPUTED_VALUE"""),"x")</f>
        <v>x</v>
      </c>
      <c r="L1102" s="20" t="str">
        <f>IFERROR(__xludf.DUMMYFUNCTION("""COMPUTED_VALUE"""),"x")</f>
        <v>x</v>
      </c>
      <c r="M1102" s="19" t="str">
        <f>IFERROR(__xludf.DUMMYFUNCTION("""COMPUTED_VALUE"""),"PCM")</f>
        <v>PCM</v>
      </c>
      <c r="N1102" s="19" t="str">
        <f>IFERROR(__xludf.DUMMYFUNCTION("""COMPUTED_VALUE"""),"PRIORIDAD 1 Q3 2023 OCTUBRE")</f>
        <v>PRIORIDAD 1 Q3 2023 OCTUBRE</v>
      </c>
    </row>
    <row r="1103" ht="15.75" customHeight="1">
      <c r="A1103" s="19" t="str">
        <f>IFERROR(__xludf.DUMMYFUNCTION("""COMPUTED_VALUE"""),"AB_8131")</f>
        <v>AB_8131</v>
      </c>
      <c r="B1103" s="19" t="str">
        <f>IFERROR(__xludf.DUMMYFUNCTION("""COMPUTED_VALUE"""),"AB_8131_A")</f>
        <v>AB_8131_A</v>
      </c>
      <c r="C1103" s="19" t="str">
        <f>IFERROR(__xludf.DUMMYFUNCTION("""COMPUTED_VALUE"""),"AR8131")</f>
        <v>AR8131</v>
      </c>
      <c r="D1103" s="19" t="str">
        <f>IFERROR(__xludf.DUMMYFUNCTION("""COMPUTED_VALUE"""),"Huililco")</f>
        <v>Huililco</v>
      </c>
      <c r="E1103" s="19" t="str">
        <f>IFERROR(__xludf.DUMMYFUNCTION("""COMPUTED_VALUE"""),"SITIO RFI")</f>
        <v>SITIO RFI</v>
      </c>
      <c r="F1103" s="19"/>
      <c r="G1103" s="19" t="str">
        <f>IFERROR(__xludf.DUMMYFUNCTION("""COMPUTED_VALUE"""),"x")</f>
        <v>x</v>
      </c>
      <c r="H1103" s="19" t="str">
        <f>IFERROR(__xludf.DUMMYFUNCTION("""COMPUTED_VALUE"""),"x")</f>
        <v>x</v>
      </c>
      <c r="I1103" s="19" t="str">
        <f>IFERROR(__xludf.DUMMYFUNCTION("""COMPUTED_VALUE"""),"x")</f>
        <v>x</v>
      </c>
      <c r="J1103" s="20" t="str">
        <f>IFERROR(__xludf.DUMMYFUNCTION("""COMPUTED_VALUE"""),"x")</f>
        <v>x</v>
      </c>
      <c r="K1103" s="19" t="str">
        <f>IFERROR(__xludf.DUMMYFUNCTION("""COMPUTED_VALUE"""),"x")</f>
        <v>x</v>
      </c>
      <c r="L1103" s="20" t="str">
        <f>IFERROR(__xludf.DUMMYFUNCTION("""COMPUTED_VALUE"""),"x")</f>
        <v>x</v>
      </c>
      <c r="M1103" s="19" t="str">
        <f>IFERROR(__xludf.DUMMYFUNCTION("""COMPUTED_VALUE"""),"PCM")</f>
        <v>PCM</v>
      </c>
      <c r="N1103" s="19" t="str">
        <f>IFERROR(__xludf.DUMMYFUNCTION("""COMPUTED_VALUE"""),"PRIORIDAD 1 Q3 2023 OCTUBRE")</f>
        <v>PRIORIDAD 1 Q3 2023 OCTUBRE</v>
      </c>
    </row>
    <row r="1104" ht="15.75" customHeight="1">
      <c r="A1104" s="19" t="str">
        <f>IFERROR(__xludf.DUMMYFUNCTION("""COMPUTED_VALUE"""),"AB_8134")</f>
        <v>AB_8134</v>
      </c>
      <c r="B1104" s="19" t="str">
        <f>IFERROR(__xludf.DUMMYFUNCTION("""COMPUTED_VALUE"""),"AB_8134_B")</f>
        <v>AB_8134_B</v>
      </c>
      <c r="C1104" s="19" t="str">
        <f>IFERROR(__xludf.DUMMYFUNCTION("""COMPUTED_VALUE"""),"AR8134")</f>
        <v>AR8134</v>
      </c>
      <c r="D1104" s="19" t="str">
        <f>IFERROR(__xludf.DUMMYFUNCTION("""COMPUTED_VALUE"""),"Cerro Rucananco Galletue")</f>
        <v>Cerro Rucananco Galletue</v>
      </c>
      <c r="E1104" s="19" t="str">
        <f>IFERROR(__xludf.DUMMYFUNCTION("""COMPUTED_VALUE"""),"SITIO ASIGNADO")</f>
        <v>SITIO ASIGNADO</v>
      </c>
      <c r="F1104" s="19"/>
      <c r="G1104" s="19" t="str">
        <f>IFERROR(__xludf.DUMMYFUNCTION("""COMPUTED_VALUE"""),"x")</f>
        <v>x</v>
      </c>
      <c r="H1104" s="19" t="str">
        <f>IFERROR(__xludf.DUMMYFUNCTION("""COMPUTED_VALUE"""),"x")</f>
        <v>x</v>
      </c>
      <c r="I1104" s="19" t="str">
        <f>IFERROR(__xludf.DUMMYFUNCTION("""COMPUTED_VALUE"""),"x")</f>
        <v>x</v>
      </c>
      <c r="J1104" s="20" t="str">
        <f>IFERROR(__xludf.DUMMYFUNCTION("""COMPUTED_VALUE"""),"x")</f>
        <v>x</v>
      </c>
      <c r="K1104" s="19" t="str">
        <f>IFERROR(__xludf.DUMMYFUNCTION("""COMPUTED_VALUE"""),"x")</f>
        <v>x</v>
      </c>
      <c r="L1104" s="20" t="str">
        <f>IFERROR(__xludf.DUMMYFUNCTION("""COMPUTED_VALUE"""),"x")</f>
        <v>x</v>
      </c>
      <c r="M1104" s="19" t="str">
        <f>IFERROR(__xludf.DUMMYFUNCTION("""COMPUTED_VALUE"""),"PCM")</f>
        <v>PCM</v>
      </c>
      <c r="N1104" s="19" t="str">
        <f>IFERROR(__xludf.DUMMYFUNCTION("""COMPUTED_VALUE"""),"PRIORIDAD 1 Q3 2023 OCTUBRE")</f>
        <v>PRIORIDAD 1 Q3 2023 OCTUBRE</v>
      </c>
    </row>
    <row r="1105" ht="15.75" customHeight="1">
      <c r="A1105" s="19" t="str">
        <f>IFERROR(__xludf.DUMMYFUNCTION("""COMPUTED_VALUE"""),"AB_8137")</f>
        <v>AB_8137</v>
      </c>
      <c r="B1105" s="19" t="str">
        <f>IFERROR(__xludf.DUMMYFUNCTION("""COMPUTED_VALUE"""),"AB_8137_C")</f>
        <v>AB_8137_C</v>
      </c>
      <c r="C1105" s="19" t="str">
        <f>IFERROR(__xludf.DUMMYFUNCTION("""COMPUTED_VALUE"""),"AR8137")</f>
        <v>AR8137</v>
      </c>
      <c r="D1105" s="19" t="str">
        <f>IFERROR(__xludf.DUMMYFUNCTION("""COMPUTED_VALUE"""),"Huechelepun Cerro")</f>
        <v>Huechelepun Cerro</v>
      </c>
      <c r="E1105" s="19" t="str">
        <f>IFERROR(__xludf.DUMMYFUNCTION("""COMPUTED_VALUE"""),"SITIO EN CONSTRUCCION")</f>
        <v>SITIO EN CONSTRUCCION</v>
      </c>
      <c r="F1105" s="19"/>
      <c r="G1105" s="19" t="str">
        <f>IFERROR(__xludf.DUMMYFUNCTION("""COMPUTED_VALUE"""),"x")</f>
        <v>x</v>
      </c>
      <c r="H1105" s="19" t="str">
        <f>IFERROR(__xludf.DUMMYFUNCTION("""COMPUTED_VALUE"""),"x")</f>
        <v>x</v>
      </c>
      <c r="I1105" s="19" t="str">
        <f>IFERROR(__xludf.DUMMYFUNCTION("""COMPUTED_VALUE"""),"x")</f>
        <v>x</v>
      </c>
      <c r="J1105" s="20" t="str">
        <f>IFERROR(__xludf.DUMMYFUNCTION("""COMPUTED_VALUE"""),"x")</f>
        <v>x</v>
      </c>
      <c r="K1105" s="19" t="str">
        <f>IFERROR(__xludf.DUMMYFUNCTION("""COMPUTED_VALUE"""),"x")</f>
        <v>x</v>
      </c>
      <c r="L1105" s="20" t="str">
        <f>IFERROR(__xludf.DUMMYFUNCTION("""COMPUTED_VALUE"""),"x")</f>
        <v>x</v>
      </c>
      <c r="M1105" s="19" t="str">
        <f>IFERROR(__xludf.DUMMYFUNCTION("""COMPUTED_VALUE"""),"PCM")</f>
        <v>PCM</v>
      </c>
      <c r="N1105" s="19" t="str">
        <f>IFERROR(__xludf.DUMMYFUNCTION("""COMPUTED_VALUE"""),"PRIORIDAD 1 Q3 2023 OCTUBRE")</f>
        <v>PRIORIDAD 1 Q3 2023 OCTUBRE</v>
      </c>
    </row>
    <row r="1106" ht="15.75" customHeight="1">
      <c r="A1106" s="19" t="str">
        <f>IFERROR(__xludf.DUMMYFUNCTION("""COMPUTED_VALUE"""),"AB_8153")</f>
        <v>AB_8153</v>
      </c>
      <c r="B1106" s="19" t="str">
        <f>IFERROR(__xludf.DUMMYFUNCTION("""COMPUTED_VALUE"""),"AB_8153_B")</f>
        <v>AB_8153_B</v>
      </c>
      <c r="C1106" s="19" t="str">
        <f>IFERROR(__xludf.DUMMYFUNCTION("""COMPUTED_VALUE"""),"AR8153")</f>
        <v>AR8153</v>
      </c>
      <c r="D1106" s="19" t="str">
        <f>IFERROR(__xludf.DUMMYFUNCTION("""COMPUTED_VALUE"""),"Agua Santa Purén")</f>
        <v>Agua Santa Purén</v>
      </c>
      <c r="E1106" s="19" t="str">
        <f>IFERROR(__xludf.DUMMYFUNCTION("""COMPUTED_VALUE"""),"SITIO RFI")</f>
        <v>SITIO RFI</v>
      </c>
      <c r="F1106" s="19"/>
      <c r="G1106" s="19" t="str">
        <f>IFERROR(__xludf.DUMMYFUNCTION("""COMPUTED_VALUE"""),"x")</f>
        <v>x</v>
      </c>
      <c r="H1106" s="19" t="str">
        <f>IFERROR(__xludf.DUMMYFUNCTION("""COMPUTED_VALUE"""),"x")</f>
        <v>x</v>
      </c>
      <c r="I1106" s="19" t="str">
        <f>IFERROR(__xludf.DUMMYFUNCTION("""COMPUTED_VALUE"""),"x")</f>
        <v>x</v>
      </c>
      <c r="J1106" s="20" t="str">
        <f>IFERROR(__xludf.DUMMYFUNCTION("""COMPUTED_VALUE"""),"x")</f>
        <v>x</v>
      </c>
      <c r="K1106" s="19" t="str">
        <f>IFERROR(__xludf.DUMMYFUNCTION("""COMPUTED_VALUE"""),"x")</f>
        <v>x</v>
      </c>
      <c r="L1106" s="20" t="str">
        <f>IFERROR(__xludf.DUMMYFUNCTION("""COMPUTED_VALUE"""),"x")</f>
        <v>x</v>
      </c>
      <c r="M1106" s="19" t="str">
        <f>IFERROR(__xludf.DUMMYFUNCTION("""COMPUTED_VALUE"""),"PCM")</f>
        <v>PCM</v>
      </c>
      <c r="N1106" s="19" t="str">
        <f>IFERROR(__xludf.DUMMYFUNCTION("""COMPUTED_VALUE"""),"PRIORIDAD 1 Q3 2023 OCTUBRE")</f>
        <v>PRIORIDAD 1 Q3 2023 OCTUBRE</v>
      </c>
    </row>
    <row r="1107" ht="15.75" customHeight="1">
      <c r="A1107" s="19" t="str">
        <f>IFERROR(__xludf.DUMMYFUNCTION("""COMPUTED_VALUE"""),"AB_9072")</f>
        <v>AB_9072</v>
      </c>
      <c r="B1107" s="19" t="str">
        <f>IFERROR(__xludf.DUMMYFUNCTION("""COMPUTED_VALUE"""),"AB_9072_D")</f>
        <v>AB_9072_D</v>
      </c>
      <c r="C1107" s="19" t="str">
        <f>IFERROR(__xludf.DUMMYFUNCTION("""COMPUTED_VALUE"""),"AR9072")</f>
        <v>AR9072</v>
      </c>
      <c r="D1107" s="19" t="str">
        <f>IFERROR(__xludf.DUMMYFUNCTION("""COMPUTED_VALUE"""),"Ruta Purén - Los Sauces")</f>
        <v>Ruta Purén - Los Sauces</v>
      </c>
      <c r="E1107" s="19" t="str">
        <f>IFERROR(__xludf.DUMMYFUNCTION("""COMPUTED_VALUE"""),"SITIO RFI")</f>
        <v>SITIO RFI</v>
      </c>
      <c r="F1107" s="19"/>
      <c r="G1107" s="19" t="str">
        <f>IFERROR(__xludf.DUMMYFUNCTION("""COMPUTED_VALUE"""),"x")</f>
        <v>x</v>
      </c>
      <c r="H1107" s="19" t="str">
        <f>IFERROR(__xludf.DUMMYFUNCTION("""COMPUTED_VALUE"""),"x")</f>
        <v>x</v>
      </c>
      <c r="I1107" s="19" t="str">
        <f>IFERROR(__xludf.DUMMYFUNCTION("""COMPUTED_VALUE"""),"x")</f>
        <v>x</v>
      </c>
      <c r="J1107" s="20" t="str">
        <f>IFERROR(__xludf.DUMMYFUNCTION("""COMPUTED_VALUE"""),"x")</f>
        <v>x</v>
      </c>
      <c r="K1107" s="19" t="str">
        <f>IFERROR(__xludf.DUMMYFUNCTION("""COMPUTED_VALUE"""),"x")</f>
        <v>x</v>
      </c>
      <c r="L1107" s="20" t="str">
        <f>IFERROR(__xludf.DUMMYFUNCTION("""COMPUTED_VALUE"""),"x")</f>
        <v>x</v>
      </c>
      <c r="M1107" s="19" t="str">
        <f>IFERROR(__xludf.DUMMYFUNCTION("""COMPUTED_VALUE"""),"PCM")</f>
        <v>PCM</v>
      </c>
      <c r="N1107" s="19" t="str">
        <f>IFERROR(__xludf.DUMMYFUNCTION("""COMPUTED_VALUE"""),"PRIORIDAD 1 Q3 2023 OCTUBRE")</f>
        <v>PRIORIDAD 1 Q3 2023 OCTUBRE</v>
      </c>
    </row>
    <row r="1108" ht="15.75" customHeight="1">
      <c r="A1108" s="19" t="str">
        <f>IFERROR(__xludf.DUMMYFUNCTION("""COMPUTED_VALUE"""),"AB_9422")</f>
        <v>AB_9422</v>
      </c>
      <c r="B1108" s="19" t="str">
        <f>IFERROR(__xludf.DUMMYFUNCTION("""COMPUTED_VALUE"""),"AB_9422_D")</f>
        <v>AB_9422_D</v>
      </c>
      <c r="C1108" s="19" t="str">
        <f>IFERROR(__xludf.DUMMYFUNCTION("""COMPUTED_VALUE"""),"AR9422")</f>
        <v>AR9422</v>
      </c>
      <c r="D1108" s="19" t="str">
        <f>IFERROR(__xludf.DUMMYFUNCTION("""COMPUTED_VALUE"""),"Ruta 5 Ancagual")</f>
        <v>Ruta 5 Ancagual</v>
      </c>
      <c r="E1108" s="19" t="str">
        <f>IFERROR(__xludf.DUMMYFUNCTION("""COMPUTED_VALUE"""),"SITIO RFI")</f>
        <v>SITIO RFI</v>
      </c>
      <c r="F1108" s="19"/>
      <c r="G1108" s="19" t="str">
        <f>IFERROR(__xludf.DUMMYFUNCTION("""COMPUTED_VALUE"""),"x")</f>
        <v>x</v>
      </c>
      <c r="H1108" s="19" t="str">
        <f>IFERROR(__xludf.DUMMYFUNCTION("""COMPUTED_VALUE"""),"x")</f>
        <v>x</v>
      </c>
      <c r="I1108" s="19" t="str">
        <f>IFERROR(__xludf.DUMMYFUNCTION("""COMPUTED_VALUE"""),"x")</f>
        <v>x</v>
      </c>
      <c r="J1108" s="20" t="str">
        <f>IFERROR(__xludf.DUMMYFUNCTION("""COMPUTED_VALUE"""),"x")</f>
        <v>x</v>
      </c>
      <c r="K1108" s="19" t="str">
        <f>IFERROR(__xludf.DUMMYFUNCTION("""COMPUTED_VALUE"""),"x")</f>
        <v>x</v>
      </c>
      <c r="L1108" s="20" t="str">
        <f>IFERROR(__xludf.DUMMYFUNCTION("""COMPUTED_VALUE"""),"x")</f>
        <v>x</v>
      </c>
      <c r="M1108" s="19" t="str">
        <f>IFERROR(__xludf.DUMMYFUNCTION("""COMPUTED_VALUE"""),"PCM_2")</f>
        <v>PCM_2</v>
      </c>
      <c r="N1108" s="19" t="str">
        <f>IFERROR(__xludf.DUMMYFUNCTION("""COMPUTED_VALUE"""),"PRIORIDAD 1 Q3 2023 OCTUBRE")</f>
        <v>PRIORIDAD 1 Q3 2023 OCTUBRE</v>
      </c>
    </row>
    <row r="1109" ht="15.75" customHeight="1">
      <c r="A1109" s="19" t="str">
        <f>IFERROR(__xludf.DUMMYFUNCTION("""COMPUTED_VALUE"""),"AB_9639")</f>
        <v>AB_9639</v>
      </c>
      <c r="B1109" s="19" t="str">
        <f>IFERROR(__xludf.DUMMYFUNCTION("""COMPUTED_VALUE"""),"AB_9639_A")</f>
        <v>AB_9639_A</v>
      </c>
      <c r="C1109" s="19" t="str">
        <f>IFERROR(__xludf.DUMMYFUNCTION("""COMPUTED_VALUE"""),"AR9639")</f>
        <v>AR9639</v>
      </c>
      <c r="D1109" s="19" t="str">
        <f>IFERROR(__xludf.DUMMYFUNCTION("""COMPUTED_VALUE"""),"Ruta 5 Diuco")</f>
        <v>Ruta 5 Diuco</v>
      </c>
      <c r="E1109" s="19" t="str">
        <f>IFERROR(__xludf.DUMMYFUNCTION("""COMPUTED_VALUE"""),"SITIO RFI")</f>
        <v>SITIO RFI</v>
      </c>
      <c r="F1109" s="19"/>
      <c r="G1109" s="19" t="str">
        <f>IFERROR(__xludf.DUMMYFUNCTION("""COMPUTED_VALUE"""),"x")</f>
        <v>x</v>
      </c>
      <c r="H1109" s="19" t="str">
        <f>IFERROR(__xludf.DUMMYFUNCTION("""COMPUTED_VALUE"""),"x")</f>
        <v>x</v>
      </c>
      <c r="I1109" s="19" t="str">
        <f>IFERROR(__xludf.DUMMYFUNCTION("""COMPUTED_VALUE"""),"x")</f>
        <v>x</v>
      </c>
      <c r="J1109" s="20" t="str">
        <f>IFERROR(__xludf.DUMMYFUNCTION("""COMPUTED_VALUE"""),"x")</f>
        <v>x</v>
      </c>
      <c r="K1109" s="19" t="str">
        <f>IFERROR(__xludf.DUMMYFUNCTION("""COMPUTED_VALUE"""),"x")</f>
        <v>x</v>
      </c>
      <c r="L1109" s="20" t="str">
        <f>IFERROR(__xludf.DUMMYFUNCTION("""COMPUTED_VALUE"""),"x")</f>
        <v>x</v>
      </c>
      <c r="M1109" s="19" t="str">
        <f>IFERROR(__xludf.DUMMYFUNCTION("""COMPUTED_VALUE"""),"PCM")</f>
        <v>PCM</v>
      </c>
      <c r="N1109" s="19" t="str">
        <f>IFERROR(__xludf.DUMMYFUNCTION("""COMPUTED_VALUE"""),"PRIORIDAD 1 Q3 2023 OCTUBRE")</f>
        <v>PRIORIDAD 1 Q3 2023 OCTUBRE</v>
      </c>
    </row>
    <row r="1110" ht="15.75" customHeight="1">
      <c r="A1110" s="19" t="str">
        <f>IFERROR(__xludf.DUMMYFUNCTION("""COMPUTED_VALUE"""),"AB_9664")</f>
        <v>AB_9664</v>
      </c>
      <c r="B1110" s="19" t="str">
        <f>IFERROR(__xludf.DUMMYFUNCTION("""COMPUTED_VALUE"""),"AB_9664_A")</f>
        <v>AB_9664_A</v>
      </c>
      <c r="C1110" s="19" t="str">
        <f>IFERROR(__xludf.DUMMYFUNCTION("""COMPUTED_VALUE"""),"AR9664")</f>
        <v>AR9664</v>
      </c>
      <c r="D1110" s="19" t="str">
        <f>IFERROR(__xludf.DUMMYFUNCTION("""COMPUTED_VALUE"""),"Trihueche")</f>
        <v>Trihueche</v>
      </c>
      <c r="E1110" s="19" t="str">
        <f>IFERROR(__xludf.DUMMYFUNCTION("""COMPUTED_VALUE"""),"SITIO RFI")</f>
        <v>SITIO RFI</v>
      </c>
      <c r="F1110" s="19"/>
      <c r="G1110" s="19" t="str">
        <f>IFERROR(__xludf.DUMMYFUNCTION("""COMPUTED_VALUE"""),"x")</f>
        <v>x</v>
      </c>
      <c r="H1110" s="19" t="str">
        <f>IFERROR(__xludf.DUMMYFUNCTION("""COMPUTED_VALUE"""),"x")</f>
        <v>x</v>
      </c>
      <c r="I1110" s="19" t="str">
        <f>IFERROR(__xludf.DUMMYFUNCTION("""COMPUTED_VALUE"""),"x")</f>
        <v>x</v>
      </c>
      <c r="J1110" s="20" t="str">
        <f>IFERROR(__xludf.DUMMYFUNCTION("""COMPUTED_VALUE"""),"x")</f>
        <v>x</v>
      </c>
      <c r="K1110" s="19" t="str">
        <f>IFERROR(__xludf.DUMMYFUNCTION("""COMPUTED_VALUE"""),"x")</f>
        <v>x</v>
      </c>
      <c r="L1110" s="20" t="str">
        <f>IFERROR(__xludf.DUMMYFUNCTION("""COMPUTED_VALUE"""),"x")</f>
        <v>x</v>
      </c>
      <c r="M1110" s="19" t="str">
        <f>IFERROR(__xludf.DUMMYFUNCTION("""COMPUTED_VALUE"""),"PCM")</f>
        <v>PCM</v>
      </c>
      <c r="N1110" s="19" t="str">
        <f>IFERROR(__xludf.DUMMYFUNCTION("""COMPUTED_VALUE"""),"PRIORIDAD 1 Q3 2023 OCTUBRE")</f>
        <v>PRIORIDAD 1 Q3 2023 OCTUBRE</v>
      </c>
    </row>
    <row r="1111" ht="15.75" customHeight="1">
      <c r="A1111" s="19" t="str">
        <f>IFERROR(__xludf.DUMMYFUNCTION("""COMPUTED_VALUE"""),"AB_10248")</f>
        <v>AB_10248</v>
      </c>
      <c r="B1111" s="19" t="str">
        <f>IFERROR(__xludf.DUMMYFUNCTION("""COMPUTED_VALUE"""),"AB_10248_C")</f>
        <v>AB_10248_C</v>
      </c>
      <c r="C1111" s="19" t="str">
        <f>IFERROR(__xludf.DUMMYFUNCTION("""COMPUTED_VALUE"""),"AT10248")</f>
        <v>AT10248</v>
      </c>
      <c r="D1111" s="19" t="str">
        <f>IFERROR(__xludf.DUMMYFUNCTION("""COMPUTED_VALUE"""),"La Arena Alto del Carmen")</f>
        <v>La Arena Alto del Carmen</v>
      </c>
      <c r="E1111" s="19" t="str">
        <f>IFERROR(__xludf.DUMMYFUNCTION("""COMPUTED_VALUE"""),"SITIO RFI")</f>
        <v>SITIO RFI</v>
      </c>
      <c r="F1111" s="19"/>
      <c r="G1111" s="19" t="str">
        <f>IFERROR(__xludf.DUMMYFUNCTION("""COMPUTED_VALUE"""),"x")</f>
        <v>x</v>
      </c>
      <c r="H1111" s="19" t="str">
        <f>IFERROR(__xludf.DUMMYFUNCTION("""COMPUTED_VALUE"""),"x")</f>
        <v>x</v>
      </c>
      <c r="I1111" s="19" t="str">
        <f>IFERROR(__xludf.DUMMYFUNCTION("""COMPUTED_VALUE"""),"x")</f>
        <v>x</v>
      </c>
      <c r="J1111" s="20" t="str">
        <f>IFERROR(__xludf.DUMMYFUNCTION("""COMPUTED_VALUE"""),"x")</f>
        <v>x</v>
      </c>
      <c r="K1111" s="19" t="str">
        <f>IFERROR(__xludf.DUMMYFUNCTION("""COMPUTED_VALUE"""),"x")</f>
        <v>x</v>
      </c>
      <c r="L1111" s="20" t="str">
        <f>IFERROR(__xludf.DUMMYFUNCTION("""COMPUTED_VALUE"""),"x")</f>
        <v>x</v>
      </c>
      <c r="M1111" s="19" t="str">
        <f>IFERROR(__xludf.DUMMYFUNCTION("""COMPUTED_VALUE"""),"PCM")</f>
        <v>PCM</v>
      </c>
      <c r="N1111" s="19" t="str">
        <f>IFERROR(__xludf.DUMMYFUNCTION("""COMPUTED_VALUE"""),"PRIORIDAD 1 Q3 2023 OCTUBRE")</f>
        <v>PRIORIDAD 1 Q3 2023 OCTUBRE</v>
      </c>
    </row>
    <row r="1112" ht="15.75" customHeight="1">
      <c r="A1112" s="19" t="str">
        <f>IFERROR(__xludf.DUMMYFUNCTION("""COMPUTED_VALUE"""),"AB_10250")</f>
        <v>AB_10250</v>
      </c>
      <c r="B1112" s="19" t="str">
        <f>IFERROR(__xludf.DUMMYFUNCTION("""COMPUTED_VALUE"""),"AB_10250_C")</f>
        <v>AB_10250_C</v>
      </c>
      <c r="C1112" s="19" t="str">
        <f>IFERROR(__xludf.DUMMYFUNCTION("""COMPUTED_VALUE"""),"AT10250")</f>
        <v>AT10250</v>
      </c>
      <c r="D1112" s="19" t="str">
        <f>IFERROR(__xludf.DUMMYFUNCTION("""COMPUTED_VALUE"""),"Rio Manfla")</f>
        <v>Rio Manfla</v>
      </c>
      <c r="E1112" s="19" t="str">
        <f>IFERROR(__xludf.DUMMYFUNCTION("""COMPUTED_VALUE"""),"DETENIDO SAC")</f>
        <v>DETENIDO SAC</v>
      </c>
      <c r="F1112" s="19"/>
      <c r="G1112" s="19" t="str">
        <f>IFERROR(__xludf.DUMMYFUNCTION("""COMPUTED_VALUE"""),"x")</f>
        <v>x</v>
      </c>
      <c r="H1112" s="19" t="str">
        <f>IFERROR(__xludf.DUMMYFUNCTION("""COMPUTED_VALUE"""),"x")</f>
        <v>x</v>
      </c>
      <c r="I1112" s="19" t="str">
        <f>IFERROR(__xludf.DUMMYFUNCTION("""COMPUTED_VALUE"""),"x")</f>
        <v>x</v>
      </c>
      <c r="J1112" s="20" t="str">
        <f>IFERROR(__xludf.DUMMYFUNCTION("""COMPUTED_VALUE"""),"x")</f>
        <v>x</v>
      </c>
      <c r="K1112" s="19" t="str">
        <f>IFERROR(__xludf.DUMMYFUNCTION("""COMPUTED_VALUE"""),"x")</f>
        <v>x</v>
      </c>
      <c r="L1112" s="20" t="str">
        <f>IFERROR(__xludf.DUMMYFUNCTION("""COMPUTED_VALUE"""),"x")</f>
        <v>x</v>
      </c>
      <c r="M1112" s="19" t="str">
        <f>IFERROR(__xludf.DUMMYFUNCTION("""COMPUTED_VALUE"""),"PCM")</f>
        <v>PCM</v>
      </c>
      <c r="N1112" s="19" t="str">
        <f>IFERROR(__xludf.DUMMYFUNCTION("""COMPUTED_VALUE"""),"PRIORIDAD 1 Q3 2023 OCTUBRE")</f>
        <v>PRIORIDAD 1 Q3 2023 OCTUBRE</v>
      </c>
    </row>
    <row r="1113" ht="15.75" customHeight="1">
      <c r="A1113" s="19" t="str">
        <f>IFERROR(__xludf.DUMMYFUNCTION("""COMPUTED_VALUE"""),"AB_10251")</f>
        <v>AB_10251</v>
      </c>
      <c r="B1113" s="19" t="str">
        <f>IFERROR(__xludf.DUMMYFUNCTION("""COMPUTED_VALUE"""),"AB_10251_A")</f>
        <v>AB_10251_A</v>
      </c>
      <c r="C1113" s="19" t="str">
        <f>IFERROR(__xludf.DUMMYFUNCTION("""COMPUTED_VALUE"""),"AT10251")</f>
        <v>AT10251</v>
      </c>
      <c r="D1113" s="19" t="str">
        <f>IFERROR(__xludf.DUMMYFUNCTION("""COMPUTED_VALUE"""),"Freirina Cerro")</f>
        <v>Freirina Cerro</v>
      </c>
      <c r="E1113" s="19" t="str">
        <f>IFERROR(__xludf.DUMMYFUNCTION("""COMPUTED_VALUE"""),"SITIO RFI")</f>
        <v>SITIO RFI</v>
      </c>
      <c r="F1113" s="19"/>
      <c r="G1113" s="19" t="str">
        <f>IFERROR(__xludf.DUMMYFUNCTION("""COMPUTED_VALUE"""),"x")</f>
        <v>x</v>
      </c>
      <c r="H1113" s="19" t="str">
        <f>IFERROR(__xludf.DUMMYFUNCTION("""COMPUTED_VALUE"""),"x")</f>
        <v>x</v>
      </c>
      <c r="I1113" s="19" t="str">
        <f>IFERROR(__xludf.DUMMYFUNCTION("""COMPUTED_VALUE"""),"x")</f>
        <v>x</v>
      </c>
      <c r="J1113" s="20" t="str">
        <f>IFERROR(__xludf.DUMMYFUNCTION("""COMPUTED_VALUE"""),"x")</f>
        <v>x</v>
      </c>
      <c r="K1113" s="19" t="str">
        <f>IFERROR(__xludf.DUMMYFUNCTION("""COMPUTED_VALUE"""),"x")</f>
        <v>x</v>
      </c>
      <c r="L1113" s="20" t="str">
        <f>IFERROR(__xludf.DUMMYFUNCTION("""COMPUTED_VALUE"""),"x")</f>
        <v>x</v>
      </c>
      <c r="M1113" s="19" t="str">
        <f>IFERROR(__xludf.DUMMYFUNCTION("""COMPUTED_VALUE"""),"PCM")</f>
        <v>PCM</v>
      </c>
      <c r="N1113" s="19" t="str">
        <f>IFERROR(__xludf.DUMMYFUNCTION("""COMPUTED_VALUE"""),"PRIORIDAD 1 Q3 2023 OCTUBRE")</f>
        <v>PRIORIDAD 1 Q3 2023 OCTUBRE</v>
      </c>
    </row>
    <row r="1114" ht="15.75" customHeight="1">
      <c r="A1114" s="19" t="str">
        <f>IFERROR(__xludf.DUMMYFUNCTION("""COMPUTED_VALUE"""),"AB_2183")</f>
        <v>AB_2183</v>
      </c>
      <c r="B1114" s="19" t="str">
        <f>IFERROR(__xludf.DUMMYFUNCTION("""COMPUTED_VALUE"""),"AB_2183_D")</f>
        <v>AB_2183_D</v>
      </c>
      <c r="C1114" s="19" t="str">
        <f>IFERROR(__xludf.DUMMYFUNCTION("""COMPUTED_VALUE"""),"AT2183")</f>
        <v>AT2183</v>
      </c>
      <c r="D1114" s="19" t="str">
        <f>IFERROR(__xludf.DUMMYFUNCTION("""COMPUTED_VALUE"""),"Los Loros")</f>
        <v>Los Loros</v>
      </c>
      <c r="E1114" s="19" t="str">
        <f>IFERROR(__xludf.DUMMYFUNCTION("""COMPUTED_VALUE"""),"SITIO EN CONSTRUCCION")</f>
        <v>SITIO EN CONSTRUCCION</v>
      </c>
      <c r="F1114" s="19"/>
      <c r="G1114" s="19" t="str">
        <f>IFERROR(__xludf.DUMMYFUNCTION("""COMPUTED_VALUE"""),"x")</f>
        <v>x</v>
      </c>
      <c r="H1114" s="19" t="str">
        <f>IFERROR(__xludf.DUMMYFUNCTION("""COMPUTED_VALUE"""),"x")</f>
        <v>x</v>
      </c>
      <c r="I1114" s="19" t="str">
        <f>IFERROR(__xludf.DUMMYFUNCTION("""COMPUTED_VALUE"""),"x")</f>
        <v>x</v>
      </c>
      <c r="J1114" s="20" t="str">
        <f>IFERROR(__xludf.DUMMYFUNCTION("""COMPUTED_VALUE"""),"x")</f>
        <v>x</v>
      </c>
      <c r="K1114" s="19" t="str">
        <f>IFERROR(__xludf.DUMMYFUNCTION("""COMPUTED_VALUE"""),"x")</f>
        <v>x</v>
      </c>
      <c r="L1114" s="20" t="str">
        <f>IFERROR(__xludf.DUMMYFUNCTION("""COMPUTED_VALUE"""),"x")</f>
        <v>x</v>
      </c>
      <c r="M1114" s="19" t="str">
        <f>IFERROR(__xludf.DUMMYFUNCTION("""COMPUTED_VALUE"""),"PCM")</f>
        <v>PCM</v>
      </c>
      <c r="N1114" s="19" t="str">
        <f>IFERROR(__xludf.DUMMYFUNCTION("""COMPUTED_VALUE"""),"PRIORIDAD 1 Q3 2023 OCTUBRE")</f>
        <v>PRIORIDAD 1 Q3 2023 OCTUBRE</v>
      </c>
    </row>
    <row r="1115" ht="15.75" customHeight="1">
      <c r="A1115" s="19" t="str">
        <f>IFERROR(__xludf.DUMMYFUNCTION("""COMPUTED_VALUE"""),"AB_2629")</f>
        <v>AB_2629</v>
      </c>
      <c r="B1115" s="19" t="str">
        <f>IFERROR(__xludf.DUMMYFUNCTION("""COMPUTED_VALUE"""),"AB_2629_F")</f>
        <v>AB_2629_F</v>
      </c>
      <c r="C1115" s="19" t="str">
        <f>IFERROR(__xludf.DUMMYFUNCTION("""COMPUTED_VALUE"""),"AT2629")</f>
        <v>AT2629</v>
      </c>
      <c r="D1115" s="19" t="str">
        <f>IFERROR(__xludf.DUMMYFUNCTION("""COMPUTED_VALUE"""),"Vallenar La Bandera")</f>
        <v>Vallenar La Bandera</v>
      </c>
      <c r="E1115" s="19" t="str">
        <f>IFERROR(__xludf.DUMMYFUNCTION("""COMPUTED_VALUE"""),"SITIO RFI")</f>
        <v>SITIO RFI</v>
      </c>
      <c r="F1115" s="19"/>
      <c r="G1115" s="19" t="str">
        <f>IFERROR(__xludf.DUMMYFUNCTION("""COMPUTED_VALUE"""),"x")</f>
        <v>x</v>
      </c>
      <c r="H1115" s="19" t="str">
        <f>IFERROR(__xludf.DUMMYFUNCTION("""COMPUTED_VALUE"""),"x")</f>
        <v>x</v>
      </c>
      <c r="I1115" s="19" t="str">
        <f>IFERROR(__xludf.DUMMYFUNCTION("""COMPUTED_VALUE"""),"x")</f>
        <v>x</v>
      </c>
      <c r="J1115" s="20" t="str">
        <f>IFERROR(__xludf.DUMMYFUNCTION("""COMPUTED_VALUE"""),"x")</f>
        <v>x</v>
      </c>
      <c r="K1115" s="19" t="str">
        <f>IFERROR(__xludf.DUMMYFUNCTION("""COMPUTED_VALUE"""),"x")</f>
        <v>x</v>
      </c>
      <c r="L1115" s="20" t="str">
        <f>IFERROR(__xludf.DUMMYFUNCTION("""COMPUTED_VALUE"""),"x")</f>
        <v>x</v>
      </c>
      <c r="M1115" s="19" t="str">
        <f>IFERROR(__xludf.DUMMYFUNCTION("""COMPUTED_VALUE"""),"PCM")</f>
        <v>PCM</v>
      </c>
      <c r="N1115" s="19" t="str">
        <f>IFERROR(__xludf.DUMMYFUNCTION("""COMPUTED_VALUE"""),"PRIORIDAD 1 Q3 2023 OCTUBRE")</f>
        <v>PRIORIDAD 1 Q3 2023 OCTUBRE</v>
      </c>
    </row>
    <row r="1116" ht="15.75" customHeight="1">
      <c r="A1116" s="19" t="str">
        <f>IFERROR(__xludf.DUMMYFUNCTION("""COMPUTED_VALUE"""),"AB_5768")</f>
        <v>AB_5768</v>
      </c>
      <c r="B1116" s="19" t="str">
        <f>IFERROR(__xludf.DUMMYFUNCTION("""COMPUTED_VALUE"""),"AB_5768_B")</f>
        <v>AB_5768_B</v>
      </c>
      <c r="C1116" s="19" t="str">
        <f>IFERROR(__xludf.DUMMYFUNCTION("""COMPUTED_VALUE"""),"AT5768")</f>
        <v>AT5768</v>
      </c>
      <c r="D1116" s="19" t="str">
        <f>IFERROR(__xludf.DUMMYFUNCTION("""COMPUTED_VALUE"""),"Ruta Vallenar Copiapo")</f>
        <v>Ruta Vallenar Copiapo</v>
      </c>
      <c r="E1116" s="19" t="str">
        <f>IFERROR(__xludf.DUMMYFUNCTION("""COMPUTED_VALUE"""),"SITIO RFI")</f>
        <v>SITIO RFI</v>
      </c>
      <c r="F1116" s="19"/>
      <c r="G1116" s="19" t="str">
        <f>IFERROR(__xludf.DUMMYFUNCTION("""COMPUTED_VALUE"""),"x")</f>
        <v>x</v>
      </c>
      <c r="H1116" s="19" t="str">
        <f>IFERROR(__xludf.DUMMYFUNCTION("""COMPUTED_VALUE"""),"x")</f>
        <v>x</v>
      </c>
      <c r="I1116" s="19" t="str">
        <f>IFERROR(__xludf.DUMMYFUNCTION("""COMPUTED_VALUE"""),"x")</f>
        <v>x</v>
      </c>
      <c r="J1116" s="20" t="str">
        <f>IFERROR(__xludf.DUMMYFUNCTION("""COMPUTED_VALUE"""),"x")</f>
        <v>x</v>
      </c>
      <c r="K1116" s="19" t="str">
        <f>IFERROR(__xludf.DUMMYFUNCTION("""COMPUTED_VALUE"""),"x")</f>
        <v>x</v>
      </c>
      <c r="L1116" s="20" t="str">
        <f>IFERROR(__xludf.DUMMYFUNCTION("""COMPUTED_VALUE"""),"x")</f>
        <v>x</v>
      </c>
      <c r="M1116" s="19" t="str">
        <f>IFERROR(__xludf.DUMMYFUNCTION("""COMPUTED_VALUE"""),"PCM")</f>
        <v>PCM</v>
      </c>
      <c r="N1116" s="19" t="str">
        <f>IFERROR(__xludf.DUMMYFUNCTION("""COMPUTED_VALUE"""),"PRIORIDAD 1 Q3 2023 OCTUBRE")</f>
        <v>PRIORIDAD 1 Q3 2023 OCTUBRE</v>
      </c>
    </row>
    <row r="1117" ht="15.75" customHeight="1">
      <c r="A1117" s="19" t="str">
        <f>IFERROR(__xludf.DUMMYFUNCTION("""COMPUTED_VALUE"""),"AB_5769")</f>
        <v>AB_5769</v>
      </c>
      <c r="B1117" s="19" t="str">
        <f>IFERROR(__xludf.DUMMYFUNCTION("""COMPUTED_VALUE"""),"AB_5769_F")</f>
        <v>AB_5769_F</v>
      </c>
      <c r="C1117" s="19" t="str">
        <f>IFERROR(__xludf.DUMMYFUNCTION("""COMPUTED_VALUE"""),"AT5769")</f>
        <v>AT5769</v>
      </c>
      <c r="D1117" s="19" t="str">
        <f>IFERROR(__xludf.DUMMYFUNCTION("""COMPUTED_VALUE"""),"Inca de Oro - Diego de Almagro")</f>
        <v>Inca de Oro - Diego de Almagro</v>
      </c>
      <c r="E1117" s="19" t="str">
        <f>IFERROR(__xludf.DUMMYFUNCTION("""COMPUTED_VALUE"""),"SITIO RFI")</f>
        <v>SITIO RFI</v>
      </c>
      <c r="F1117" s="19"/>
      <c r="G1117" s="19" t="str">
        <f>IFERROR(__xludf.DUMMYFUNCTION("""COMPUTED_VALUE"""),"x")</f>
        <v>x</v>
      </c>
      <c r="H1117" s="19" t="str">
        <f>IFERROR(__xludf.DUMMYFUNCTION("""COMPUTED_VALUE"""),"x")</f>
        <v>x</v>
      </c>
      <c r="I1117" s="19" t="str">
        <f>IFERROR(__xludf.DUMMYFUNCTION("""COMPUTED_VALUE"""),"x")</f>
        <v>x</v>
      </c>
      <c r="J1117" s="20" t="str">
        <f>IFERROR(__xludf.DUMMYFUNCTION("""COMPUTED_VALUE"""),"x")</f>
        <v>x</v>
      </c>
      <c r="K1117" s="19" t="str">
        <f>IFERROR(__xludf.DUMMYFUNCTION("""COMPUTED_VALUE"""),"x")</f>
        <v>x</v>
      </c>
      <c r="L1117" s="20" t="str">
        <f>IFERROR(__xludf.DUMMYFUNCTION("""COMPUTED_VALUE"""),"x")</f>
        <v>x</v>
      </c>
      <c r="M1117" s="19" t="str">
        <f>IFERROR(__xludf.DUMMYFUNCTION("""COMPUTED_VALUE"""),"PCM")</f>
        <v>PCM</v>
      </c>
      <c r="N1117" s="19" t="str">
        <f>IFERROR(__xludf.DUMMYFUNCTION("""COMPUTED_VALUE"""),"PRIORIDAD 1 Q3 2023 OCTUBRE")</f>
        <v>PRIORIDAD 1 Q3 2023 OCTUBRE</v>
      </c>
    </row>
    <row r="1118" ht="15.75" customHeight="1">
      <c r="A1118" s="19" t="str">
        <f>IFERROR(__xludf.DUMMYFUNCTION("""COMPUTED_VALUE"""),"AB_9706")</f>
        <v>AB_9706</v>
      </c>
      <c r="B1118" s="19" t="str">
        <f>IFERROR(__xludf.DUMMYFUNCTION("""COMPUTED_VALUE"""),"AB_9706_B")</f>
        <v>AB_9706_B</v>
      </c>
      <c r="C1118" s="19" t="str">
        <f>IFERROR(__xludf.DUMMYFUNCTION("""COMPUTED_VALUE"""),"AT9706")</f>
        <v>AT9706</v>
      </c>
      <c r="D1118" s="19" t="str">
        <f>IFERROR(__xludf.DUMMYFUNCTION("""COMPUTED_VALUE"""),"Ruta 5 Domeyko")</f>
        <v>Ruta 5 Domeyko</v>
      </c>
      <c r="E1118" s="19" t="str">
        <f>IFERROR(__xludf.DUMMYFUNCTION("""COMPUTED_VALUE"""),"SITIO RFC")</f>
        <v>SITIO RFC</v>
      </c>
      <c r="F1118" s="19"/>
      <c r="G1118" s="19" t="str">
        <f>IFERROR(__xludf.DUMMYFUNCTION("""COMPUTED_VALUE"""),"x")</f>
        <v>x</v>
      </c>
      <c r="H1118" s="19" t="str">
        <f>IFERROR(__xludf.DUMMYFUNCTION("""COMPUTED_VALUE"""),"x")</f>
        <v>x</v>
      </c>
      <c r="I1118" s="19" t="str">
        <f>IFERROR(__xludf.DUMMYFUNCTION("""COMPUTED_VALUE"""),"x")</f>
        <v>x</v>
      </c>
      <c r="J1118" s="20" t="str">
        <f>IFERROR(__xludf.DUMMYFUNCTION("""COMPUTED_VALUE"""),"x")</f>
        <v>x</v>
      </c>
      <c r="K1118" s="19" t="str">
        <f>IFERROR(__xludf.DUMMYFUNCTION("""COMPUTED_VALUE"""),"x")</f>
        <v>x</v>
      </c>
      <c r="L1118" s="20" t="str">
        <f>IFERROR(__xludf.DUMMYFUNCTION("""COMPUTED_VALUE"""),"x")</f>
        <v>x</v>
      </c>
      <c r="M1118" s="19" t="str">
        <f>IFERROR(__xludf.DUMMYFUNCTION("""COMPUTED_VALUE"""),"PP")</f>
        <v>PP</v>
      </c>
      <c r="N1118" s="19" t="str">
        <f>IFERROR(__xludf.DUMMYFUNCTION("""COMPUTED_VALUE"""),"PRIORIDAD 3 Q1 2024 MARZO")</f>
        <v>PRIORIDAD 3 Q1 2024 MARZO</v>
      </c>
    </row>
    <row r="1119" ht="15.75" customHeight="1">
      <c r="A1119" s="19" t="str">
        <f>IFERROR(__xludf.DUMMYFUNCTION("""COMPUTED_VALUE"""),"AB_10112")</f>
        <v>AB_10112</v>
      </c>
      <c r="B1119" s="19" t="str">
        <f>IFERROR(__xludf.DUMMYFUNCTION("""COMPUTED_VALUE"""),"AB_10112_B")</f>
        <v>AB_10112_B</v>
      </c>
      <c r="C1119" s="19" t="str">
        <f>IFERROR(__xludf.DUMMYFUNCTION("""COMPUTED_VALUE"""),"AY10112")</f>
        <v>AY10112</v>
      </c>
      <c r="D1119" s="19" t="str">
        <f>IFERROR(__xludf.DUMMYFUNCTION("""COMPUTED_VALUE"""),"Lago Verde 1")</f>
        <v>Lago Verde 1</v>
      </c>
      <c r="E1119" s="19" t="str">
        <f>IFERROR(__xludf.DUMMYFUNCTION("""COMPUTED_VALUE"""),"SITIO RFI")</f>
        <v>SITIO RFI</v>
      </c>
      <c r="F1119" s="19"/>
      <c r="G1119" s="19" t="str">
        <f>IFERROR(__xludf.DUMMYFUNCTION("""COMPUTED_VALUE"""),"x")</f>
        <v>x</v>
      </c>
      <c r="H1119" s="19" t="str">
        <f>IFERROR(__xludf.DUMMYFUNCTION("""COMPUTED_VALUE"""),"x")</f>
        <v>x</v>
      </c>
      <c r="I1119" s="19" t="str">
        <f>IFERROR(__xludf.DUMMYFUNCTION("""COMPUTED_VALUE"""),"x")</f>
        <v>x</v>
      </c>
      <c r="J1119" s="20" t="str">
        <f>IFERROR(__xludf.DUMMYFUNCTION("""COMPUTED_VALUE"""),"x")</f>
        <v>x</v>
      </c>
      <c r="K1119" s="19" t="str">
        <f>IFERROR(__xludf.DUMMYFUNCTION("""COMPUTED_VALUE"""),"x")</f>
        <v>x</v>
      </c>
      <c r="L1119" s="20" t="str">
        <f>IFERROR(__xludf.DUMMYFUNCTION("""COMPUTED_VALUE"""),"x")</f>
        <v>x</v>
      </c>
      <c r="M1119" s="19" t="str">
        <f>IFERROR(__xludf.DUMMYFUNCTION("""COMPUTED_VALUE"""),"PCM")</f>
        <v>PCM</v>
      </c>
      <c r="N1119" s="19" t="str">
        <f>IFERROR(__xludf.DUMMYFUNCTION("""COMPUTED_VALUE"""),"PRIORIDAD 1 Q3 2023 OCTUBRE")</f>
        <v>PRIORIDAD 1 Q3 2023 OCTUBRE</v>
      </c>
    </row>
    <row r="1120" ht="15.75" customHeight="1">
      <c r="A1120" s="19" t="str">
        <f>IFERROR(__xludf.DUMMYFUNCTION("""COMPUTED_VALUE"""),"AB_1668")</f>
        <v>AB_1668</v>
      </c>
      <c r="B1120" s="19" t="str">
        <f>IFERROR(__xludf.DUMMYFUNCTION("""COMPUTED_VALUE"""),"AB_1668_C")</f>
        <v>AB_1668_C</v>
      </c>
      <c r="C1120" s="19" t="str">
        <f>IFERROR(__xludf.DUMMYFUNCTION("""COMPUTED_VALUE"""),"AY1668")</f>
        <v>AY1668</v>
      </c>
      <c r="D1120" s="19" t="str">
        <f>IFERROR(__xludf.DUMMYFUNCTION("""COMPUTED_VALUE"""),"Puerto Cisnes")</f>
        <v>Puerto Cisnes</v>
      </c>
      <c r="E1120" s="19" t="str">
        <f>IFERROR(__xludf.DUMMYFUNCTION("""COMPUTED_VALUE"""),"SITIO RFI")</f>
        <v>SITIO RFI</v>
      </c>
      <c r="F1120" s="19"/>
      <c r="G1120" s="19" t="str">
        <f>IFERROR(__xludf.DUMMYFUNCTION("""COMPUTED_VALUE"""),"x")</f>
        <v>x</v>
      </c>
      <c r="H1120" s="19" t="str">
        <f>IFERROR(__xludf.DUMMYFUNCTION("""COMPUTED_VALUE"""),"x")</f>
        <v>x</v>
      </c>
      <c r="I1120" s="19" t="str">
        <f>IFERROR(__xludf.DUMMYFUNCTION("""COMPUTED_VALUE"""),"x")</f>
        <v>x</v>
      </c>
      <c r="J1120" s="20" t="str">
        <f>IFERROR(__xludf.DUMMYFUNCTION("""COMPUTED_VALUE"""),"x")</f>
        <v>x</v>
      </c>
      <c r="K1120" s="19" t="str">
        <f>IFERROR(__xludf.DUMMYFUNCTION("""COMPUTED_VALUE"""),"x")</f>
        <v>x</v>
      </c>
      <c r="L1120" s="20" t="str">
        <f>IFERROR(__xludf.DUMMYFUNCTION("""COMPUTED_VALUE"""),"x")</f>
        <v>x</v>
      </c>
      <c r="M1120" s="19" t="str">
        <f>IFERROR(__xludf.DUMMYFUNCTION("""COMPUTED_VALUE"""),"PCM")</f>
        <v>PCM</v>
      </c>
      <c r="N1120" s="19" t="str">
        <f>IFERROR(__xludf.DUMMYFUNCTION("""COMPUTED_VALUE"""),"PRIORIDAD 1 Q3 2023 OCTUBRE")</f>
        <v>PRIORIDAD 1 Q3 2023 OCTUBRE</v>
      </c>
    </row>
    <row r="1121" ht="15.75" customHeight="1">
      <c r="A1121" s="19" t="str">
        <f>IFERROR(__xludf.DUMMYFUNCTION("""COMPUTED_VALUE"""),"AB_2650")</f>
        <v>AB_2650</v>
      </c>
      <c r="B1121" s="19" t="str">
        <f>IFERROR(__xludf.DUMMYFUNCTION("""COMPUTED_VALUE"""),"AB_2650_A")</f>
        <v>AB_2650_A</v>
      </c>
      <c r="C1121" s="19" t="str">
        <f>IFERROR(__xludf.DUMMYFUNCTION("""COMPUTED_VALUE"""),"AY2650")</f>
        <v>AY2650</v>
      </c>
      <c r="D1121" s="19" t="str">
        <f>IFERROR(__xludf.DUMMYFUNCTION("""COMPUTED_VALUE"""),"Puerto Ingeniero Ibañez")</f>
        <v>Puerto Ingeniero Ibañez</v>
      </c>
      <c r="E1121" s="19" t="str">
        <f>IFERROR(__xludf.DUMMYFUNCTION("""COMPUTED_VALUE"""),"SITIO RFI")</f>
        <v>SITIO RFI</v>
      </c>
      <c r="F1121" s="19"/>
      <c r="G1121" s="19" t="str">
        <f>IFERROR(__xludf.DUMMYFUNCTION("""COMPUTED_VALUE"""),"x")</f>
        <v>x</v>
      </c>
      <c r="H1121" s="19" t="str">
        <f>IFERROR(__xludf.DUMMYFUNCTION("""COMPUTED_VALUE"""),"x")</f>
        <v>x</v>
      </c>
      <c r="I1121" s="19" t="str">
        <f>IFERROR(__xludf.DUMMYFUNCTION("""COMPUTED_VALUE"""),"x")</f>
        <v>x</v>
      </c>
      <c r="J1121" s="20" t="str">
        <f>IFERROR(__xludf.DUMMYFUNCTION("""COMPUTED_VALUE"""),"x")</f>
        <v>x</v>
      </c>
      <c r="K1121" s="19" t="str">
        <f>IFERROR(__xludf.DUMMYFUNCTION("""COMPUTED_VALUE"""),"x")</f>
        <v>x</v>
      </c>
      <c r="L1121" s="20" t="str">
        <f>IFERROR(__xludf.DUMMYFUNCTION("""COMPUTED_VALUE"""),"x")</f>
        <v>x</v>
      </c>
      <c r="M1121" s="19" t="str">
        <f>IFERROR(__xludf.DUMMYFUNCTION("""COMPUTED_VALUE"""),"PCM")</f>
        <v>PCM</v>
      </c>
      <c r="N1121" s="19" t="str">
        <f>IFERROR(__xludf.DUMMYFUNCTION("""COMPUTED_VALUE"""),"PRIORIDAD 1 Q3 2023 OCTUBRE")</f>
        <v>PRIORIDAD 1 Q3 2023 OCTUBRE</v>
      </c>
    </row>
    <row r="1122" ht="15.75" customHeight="1">
      <c r="A1122" s="19" t="str">
        <f>IFERROR(__xludf.DUMMYFUNCTION("""COMPUTED_VALUE"""),"AB_6589")</f>
        <v>AB_6589</v>
      </c>
      <c r="B1122" s="19" t="str">
        <f>IFERROR(__xludf.DUMMYFUNCTION("""COMPUTED_VALUE"""),"AB_6589_C")</f>
        <v>AB_6589_C</v>
      </c>
      <c r="C1122" s="19" t="str">
        <f>IFERROR(__xludf.DUMMYFUNCTION("""COMPUTED_VALUE"""),"AY6589")</f>
        <v>AY6589</v>
      </c>
      <c r="D1122" s="19" t="str">
        <f>IFERROR(__xludf.DUMMYFUNCTION("""COMPUTED_VALUE"""),"Villa Cerro Castillo")</f>
        <v>Villa Cerro Castillo</v>
      </c>
      <c r="E1122" s="19" t="str">
        <f>IFERROR(__xludf.DUMMYFUNCTION("""COMPUTED_VALUE"""),"DETENIDO SAC")</f>
        <v>DETENIDO SAC</v>
      </c>
      <c r="F1122" s="19"/>
      <c r="G1122" s="19" t="str">
        <f>IFERROR(__xludf.DUMMYFUNCTION("""COMPUTED_VALUE"""),"x")</f>
        <v>x</v>
      </c>
      <c r="H1122" s="19" t="str">
        <f>IFERROR(__xludf.DUMMYFUNCTION("""COMPUTED_VALUE"""),"x")</f>
        <v>x</v>
      </c>
      <c r="I1122" s="19" t="str">
        <f>IFERROR(__xludf.DUMMYFUNCTION("""COMPUTED_VALUE"""),"x")</f>
        <v>x</v>
      </c>
      <c r="J1122" s="20" t="str">
        <f>IFERROR(__xludf.DUMMYFUNCTION("""COMPUTED_VALUE"""),"x")</f>
        <v>x</v>
      </c>
      <c r="K1122" s="19" t="str">
        <f>IFERROR(__xludf.DUMMYFUNCTION("""COMPUTED_VALUE"""),"x")</f>
        <v>x</v>
      </c>
      <c r="L1122" s="20" t="str">
        <f>IFERROR(__xludf.DUMMYFUNCTION("""COMPUTED_VALUE"""),"x")</f>
        <v>x</v>
      </c>
      <c r="M1122" s="19" t="str">
        <f>IFERROR(__xludf.DUMMYFUNCTION("""COMPUTED_VALUE"""),"PCM")</f>
        <v>PCM</v>
      </c>
      <c r="N1122" s="19" t="str">
        <f>IFERROR(__xludf.DUMMYFUNCTION("""COMPUTED_VALUE"""),"PRIORIDAD 1 Q3 2023 OCTUBRE")</f>
        <v>PRIORIDAD 1 Q3 2023 OCTUBRE</v>
      </c>
    </row>
    <row r="1123" ht="15.75" customHeight="1">
      <c r="A1123" s="19" t="str">
        <f>IFERROR(__xludf.DUMMYFUNCTION("""COMPUTED_VALUE"""),"AB_9442")</f>
        <v>AB_9442</v>
      </c>
      <c r="B1123" s="19" t="str">
        <f>IFERROR(__xludf.DUMMYFUNCTION("""COMPUTED_VALUE"""),"AB_9442_A")</f>
        <v>AB_9442_A</v>
      </c>
      <c r="C1123" s="19" t="str">
        <f>IFERROR(__xludf.DUMMYFUNCTION("""COMPUTED_VALUE"""),"AY9442")</f>
        <v>AY9442</v>
      </c>
      <c r="D1123" s="19" t="str">
        <f>IFERROR(__xludf.DUMMYFUNCTION("""COMPUTED_VALUE"""),"El Balseo")</f>
        <v>El Balseo</v>
      </c>
      <c r="E1123" s="19" t="str">
        <f>IFERROR(__xludf.DUMMYFUNCTION("""COMPUTED_VALUE"""),"SITIO RFI")</f>
        <v>SITIO RFI</v>
      </c>
      <c r="F1123" s="19"/>
      <c r="G1123" s="19" t="str">
        <f>IFERROR(__xludf.DUMMYFUNCTION("""COMPUTED_VALUE"""),"x")</f>
        <v>x</v>
      </c>
      <c r="H1123" s="19" t="str">
        <f>IFERROR(__xludf.DUMMYFUNCTION("""COMPUTED_VALUE"""),"x")</f>
        <v>x</v>
      </c>
      <c r="I1123" s="19" t="str">
        <f>IFERROR(__xludf.DUMMYFUNCTION("""COMPUTED_VALUE"""),"x")</f>
        <v>x</v>
      </c>
      <c r="J1123" s="20" t="str">
        <f>IFERROR(__xludf.DUMMYFUNCTION("""COMPUTED_VALUE"""),"x")</f>
        <v>x</v>
      </c>
      <c r="K1123" s="19" t="str">
        <f>IFERROR(__xludf.DUMMYFUNCTION("""COMPUTED_VALUE"""),"x")</f>
        <v>x</v>
      </c>
      <c r="L1123" s="20" t="str">
        <f>IFERROR(__xludf.DUMMYFUNCTION("""COMPUTED_VALUE"""),"x")</f>
        <v>x</v>
      </c>
      <c r="M1123" s="19" t="str">
        <f>IFERROR(__xludf.DUMMYFUNCTION("""COMPUTED_VALUE"""),"PCM")</f>
        <v>PCM</v>
      </c>
      <c r="N1123" s="19" t="str">
        <f>IFERROR(__xludf.DUMMYFUNCTION("""COMPUTED_VALUE"""),"PRIORIDAD 1 Q3 2023 OCTUBRE")</f>
        <v>PRIORIDAD 1 Q3 2023 OCTUBRE</v>
      </c>
    </row>
    <row r="1124" ht="15.75" customHeight="1">
      <c r="A1124" s="19" t="str">
        <f>IFERROR(__xludf.DUMMYFUNCTION("""COMPUTED_VALUE"""),"AB_0347")</f>
        <v>AB_0347</v>
      </c>
      <c r="B1124" s="19" t="str">
        <f>IFERROR(__xludf.DUMMYFUNCTION("""COMPUTED_VALUE"""),"AB_0347_A")</f>
        <v>AB_0347_A</v>
      </c>
      <c r="C1124" s="19" t="str">
        <f>IFERROR(__xludf.DUMMYFUNCTION("""COMPUTED_VALUE"""),"BI0347")</f>
        <v>BI0347</v>
      </c>
      <c r="D1124" s="19" t="str">
        <f>IFERROR(__xludf.DUMMYFUNCTION("""COMPUTED_VALUE"""),"Ruta 5 Puertas Blancas")</f>
        <v>Ruta 5 Puertas Blancas</v>
      </c>
      <c r="E1124" s="19" t="str">
        <f>IFERROR(__xludf.DUMMYFUNCTION("""COMPUTED_VALUE"""),"SITIO ASIGNADO")</f>
        <v>SITIO ASIGNADO</v>
      </c>
      <c r="F1124" s="19"/>
      <c r="G1124" s="19" t="str">
        <f>IFERROR(__xludf.DUMMYFUNCTION("""COMPUTED_VALUE"""),"x")</f>
        <v>x</v>
      </c>
      <c r="H1124" s="19" t="str">
        <f>IFERROR(__xludf.DUMMYFUNCTION("""COMPUTED_VALUE"""),"x")</f>
        <v>x</v>
      </c>
      <c r="I1124" s="19" t="str">
        <f>IFERROR(__xludf.DUMMYFUNCTION("""COMPUTED_VALUE"""),"x")</f>
        <v>x</v>
      </c>
      <c r="J1124" s="20" t="str">
        <f>IFERROR(__xludf.DUMMYFUNCTION("""COMPUTED_VALUE"""),"x")</f>
        <v>x</v>
      </c>
      <c r="K1124" s="19" t="str">
        <f>IFERROR(__xludf.DUMMYFUNCTION("""COMPUTED_VALUE"""),"x")</f>
        <v>x</v>
      </c>
      <c r="L1124" s="20" t="str">
        <f>IFERROR(__xludf.DUMMYFUNCTION("""COMPUTED_VALUE"""),"x")</f>
        <v>x</v>
      </c>
      <c r="M1124" s="19" t="str">
        <f>IFERROR(__xludf.DUMMYFUNCTION("""COMPUTED_VALUE"""),"PP")</f>
        <v>PP</v>
      </c>
      <c r="N1124" s="19" t="str">
        <f>IFERROR(__xludf.DUMMYFUNCTION("""COMPUTED_VALUE"""),"PRIORIDAD 1 Q3 2023 OCTUBRE")</f>
        <v>PRIORIDAD 1 Q3 2023 OCTUBRE</v>
      </c>
    </row>
    <row r="1125" ht="15.75" customHeight="1">
      <c r="A1125" s="19" t="str">
        <f>IFERROR(__xludf.DUMMYFUNCTION("""COMPUTED_VALUE"""),"AB_0738")</f>
        <v>AB_0738</v>
      </c>
      <c r="B1125" s="19" t="str">
        <f>IFERROR(__xludf.DUMMYFUNCTION("""COMPUTED_VALUE"""),"AB_0738_H")</f>
        <v>AB_0738_H</v>
      </c>
      <c r="C1125" s="19" t="str">
        <f>IFERROR(__xludf.DUMMYFUNCTION("""COMPUTED_VALUE"""),"BI0738")</f>
        <v>BI0738</v>
      </c>
      <c r="D1125" s="19" t="str">
        <f>IFERROR(__xludf.DUMMYFUNCTION("""COMPUTED_VALUE"""),"Punta de Parra")</f>
        <v>Punta de Parra</v>
      </c>
      <c r="E1125" s="19" t="str">
        <f>IFERROR(__xludf.DUMMYFUNCTION("""COMPUTED_VALUE"""),"SITIO RFI")</f>
        <v>SITIO RFI</v>
      </c>
      <c r="F1125" s="19"/>
      <c r="G1125" s="19" t="str">
        <f>IFERROR(__xludf.DUMMYFUNCTION("""COMPUTED_VALUE"""),"x")</f>
        <v>x</v>
      </c>
      <c r="H1125" s="19" t="str">
        <f>IFERROR(__xludf.DUMMYFUNCTION("""COMPUTED_VALUE"""),"x")</f>
        <v>x</v>
      </c>
      <c r="I1125" s="19" t="str">
        <f>IFERROR(__xludf.DUMMYFUNCTION("""COMPUTED_VALUE"""),"x")</f>
        <v>x</v>
      </c>
      <c r="J1125" s="20" t="str">
        <f>IFERROR(__xludf.DUMMYFUNCTION("""COMPUTED_VALUE"""),"x")</f>
        <v>x</v>
      </c>
      <c r="K1125" s="19" t="str">
        <f>IFERROR(__xludf.DUMMYFUNCTION("""COMPUTED_VALUE"""),"x")</f>
        <v>x</v>
      </c>
      <c r="L1125" s="20" t="str">
        <f>IFERROR(__xludf.DUMMYFUNCTION("""COMPUTED_VALUE"""),"x")</f>
        <v>x</v>
      </c>
      <c r="M1125" s="19" t="str">
        <f>IFERROR(__xludf.DUMMYFUNCTION("""COMPUTED_VALUE"""),"PCM")</f>
        <v>PCM</v>
      </c>
      <c r="N1125" s="19" t="str">
        <f>IFERROR(__xludf.DUMMYFUNCTION("""COMPUTED_VALUE"""),"PRIORIDAD 1 Q3 2023 OCTUBRE")</f>
        <v>PRIORIDAD 1 Q3 2023 OCTUBRE</v>
      </c>
    </row>
    <row r="1126" ht="15.75" customHeight="1">
      <c r="A1126" s="19" t="str">
        <f>IFERROR(__xludf.DUMMYFUNCTION("""COMPUTED_VALUE"""),"AB_0808")</f>
        <v>AB_0808</v>
      </c>
      <c r="B1126" s="19" t="str">
        <f>IFERROR(__xludf.DUMMYFUNCTION("""COMPUTED_VALUE"""),"AB_0808_F")</f>
        <v>AB_0808_F</v>
      </c>
      <c r="C1126" s="19" t="str">
        <f>IFERROR(__xludf.DUMMYFUNCTION("""COMPUTED_VALUE"""),"BI0808")</f>
        <v>BI0808</v>
      </c>
      <c r="D1126" s="19" t="str">
        <f>IFERROR(__xludf.DUMMYFUNCTION("""COMPUTED_VALUE"""),"El Recodo")</f>
        <v>El Recodo</v>
      </c>
      <c r="E1126" s="19" t="str">
        <f>IFERROR(__xludf.DUMMYFUNCTION("""COMPUTED_VALUE"""),"SITIO RFI")</f>
        <v>SITIO RFI</v>
      </c>
      <c r="F1126" s="19"/>
      <c r="G1126" s="19" t="str">
        <f>IFERROR(__xludf.DUMMYFUNCTION("""COMPUTED_VALUE"""),"x")</f>
        <v>x</v>
      </c>
      <c r="H1126" s="19" t="str">
        <f>IFERROR(__xludf.DUMMYFUNCTION("""COMPUTED_VALUE"""),"x")</f>
        <v>x</v>
      </c>
      <c r="I1126" s="19" t="str">
        <f>IFERROR(__xludf.DUMMYFUNCTION("""COMPUTED_VALUE"""),"x")</f>
        <v>x</v>
      </c>
      <c r="J1126" s="20" t="str">
        <f>IFERROR(__xludf.DUMMYFUNCTION("""COMPUTED_VALUE"""),"x")</f>
        <v>x</v>
      </c>
      <c r="K1126" s="19" t="str">
        <f>IFERROR(__xludf.DUMMYFUNCTION("""COMPUTED_VALUE"""),"x")</f>
        <v>x</v>
      </c>
      <c r="L1126" s="20" t="str">
        <f>IFERROR(__xludf.DUMMYFUNCTION("""COMPUTED_VALUE"""),"x")</f>
        <v>x</v>
      </c>
      <c r="M1126" s="19" t="str">
        <f>IFERROR(__xludf.DUMMYFUNCTION("""COMPUTED_VALUE"""),"PCM")</f>
        <v>PCM</v>
      </c>
      <c r="N1126" s="19" t="str">
        <f>IFERROR(__xludf.DUMMYFUNCTION("""COMPUTED_VALUE"""),"PRIORIDAD 1 Q3 2023 OCTUBRE")</f>
        <v>PRIORIDAD 1 Q3 2023 OCTUBRE</v>
      </c>
    </row>
    <row r="1127" ht="15.75" customHeight="1">
      <c r="A1127" s="19" t="str">
        <f>IFERROR(__xludf.DUMMYFUNCTION("""COMPUTED_VALUE"""),"AB_10169")</f>
        <v>AB_10169</v>
      </c>
      <c r="B1127" s="19" t="str">
        <f>IFERROR(__xludf.DUMMYFUNCTION("""COMPUTED_VALUE"""),"AB_10169_C")</f>
        <v>AB_10169_C</v>
      </c>
      <c r="C1127" s="19" t="str">
        <f>IFERROR(__xludf.DUMMYFUNCTION("""COMPUTED_VALUE"""),"BI10169")</f>
        <v>BI10169</v>
      </c>
      <c r="D1127" s="19" t="str">
        <f>IFERROR(__xludf.DUMMYFUNCTION("""COMPUTED_VALUE"""),"Lirquen RU2")</f>
        <v>Lirquen RU2</v>
      </c>
      <c r="E1127" s="19" t="str">
        <f>IFERROR(__xludf.DUMMYFUNCTION("""COMPUTED_VALUE"""),"SITIO RFI")</f>
        <v>SITIO RFI</v>
      </c>
      <c r="F1127" s="19"/>
      <c r="G1127" s="19" t="str">
        <f>IFERROR(__xludf.DUMMYFUNCTION("""COMPUTED_VALUE"""),"x")</f>
        <v>x</v>
      </c>
      <c r="H1127" s="19" t="str">
        <f>IFERROR(__xludf.DUMMYFUNCTION("""COMPUTED_VALUE"""),"x")</f>
        <v>x</v>
      </c>
      <c r="I1127" s="19" t="str">
        <f>IFERROR(__xludf.DUMMYFUNCTION("""COMPUTED_VALUE"""),"x")</f>
        <v>x</v>
      </c>
      <c r="J1127" s="20" t="str">
        <f>IFERROR(__xludf.DUMMYFUNCTION("""COMPUTED_VALUE"""),"x")</f>
        <v>x</v>
      </c>
      <c r="K1127" s="19" t="str">
        <f>IFERROR(__xludf.DUMMYFUNCTION("""COMPUTED_VALUE"""),"x")</f>
        <v>x</v>
      </c>
      <c r="L1127" s="20" t="str">
        <f>IFERROR(__xludf.DUMMYFUNCTION("""COMPUTED_VALUE"""),"x")</f>
        <v>x</v>
      </c>
      <c r="M1127" s="19" t="str">
        <f>IFERROR(__xludf.DUMMYFUNCTION("""COMPUTED_VALUE"""),"PCM")</f>
        <v>PCM</v>
      </c>
      <c r="N1127" s="19" t="str">
        <f>IFERROR(__xludf.DUMMYFUNCTION("""COMPUTED_VALUE"""),"PRIORIDAD 1 Q3 2023 OCTUBRE")</f>
        <v>PRIORIDAD 1 Q3 2023 OCTUBRE</v>
      </c>
    </row>
    <row r="1128" ht="15.75" customHeight="1">
      <c r="A1128" s="19" t="str">
        <f>IFERROR(__xludf.DUMMYFUNCTION("""COMPUTED_VALUE"""),"AB_10657")</f>
        <v>AB_10657</v>
      </c>
      <c r="B1128" s="19" t="str">
        <f>IFERROR(__xludf.DUMMYFUNCTION("""COMPUTED_VALUE"""),"AB_10657_E")</f>
        <v>AB_10657_E</v>
      </c>
      <c r="C1128" s="19" t="str">
        <f>IFERROR(__xludf.DUMMYFUNCTION("""COMPUTED_VALUE"""),"BI10657")</f>
        <v>BI10657</v>
      </c>
      <c r="D1128" s="19" t="str">
        <f>IFERROR(__xludf.DUMMYFUNCTION("""COMPUTED_VALUE"""),"Chiguayante Estadio Español NF RU1")</f>
        <v>Chiguayante Estadio Español NF RU1</v>
      </c>
      <c r="E1128" s="19" t="str">
        <f>IFERROR(__xludf.DUMMYFUNCTION("""COMPUTED_VALUE"""),"SITIO PENDIENTE")</f>
        <v>SITIO PENDIENTE</v>
      </c>
      <c r="F1128" s="19"/>
      <c r="G1128" s="19" t="str">
        <f>IFERROR(__xludf.DUMMYFUNCTION("""COMPUTED_VALUE"""),"x")</f>
        <v>x</v>
      </c>
      <c r="H1128" s="19" t="str">
        <f>IFERROR(__xludf.DUMMYFUNCTION("""COMPUTED_VALUE"""),"x")</f>
        <v>x</v>
      </c>
      <c r="I1128" s="19" t="str">
        <f>IFERROR(__xludf.DUMMYFUNCTION("""COMPUTED_VALUE"""),"x")</f>
        <v>x</v>
      </c>
      <c r="J1128" s="20" t="str">
        <f>IFERROR(__xludf.DUMMYFUNCTION("""COMPUTED_VALUE"""),"x")</f>
        <v>x</v>
      </c>
      <c r="K1128" s="19" t="str">
        <f>IFERROR(__xludf.DUMMYFUNCTION("""COMPUTED_VALUE"""),"x")</f>
        <v>x</v>
      </c>
      <c r="L1128" s="20" t="str">
        <f>IFERROR(__xludf.DUMMYFUNCTION("""COMPUTED_VALUE"""),"x")</f>
        <v>x</v>
      </c>
      <c r="M1128" s="19" t="str">
        <f>IFERROR(__xludf.DUMMYFUNCTION("""COMPUTED_VALUE"""),"PCM")</f>
        <v>PCM</v>
      </c>
      <c r="N1128" s="19" t="str">
        <f>IFERROR(__xludf.DUMMYFUNCTION("""COMPUTED_VALUE"""),"PRIORIDAD 3 Q1 2024 MARZO")</f>
        <v>PRIORIDAD 3 Q1 2024 MARZO</v>
      </c>
    </row>
    <row r="1129" ht="15.75" customHeight="1">
      <c r="A1129" s="19" t="str">
        <f>IFERROR(__xludf.DUMMYFUNCTION("""COMPUTED_VALUE"""),"AB_10665")</f>
        <v>AB_10665</v>
      </c>
      <c r="B1129" s="19" t="str">
        <f>IFERROR(__xludf.DUMMYFUNCTION("""COMPUTED_VALUE"""),"AB_10665_B")</f>
        <v>AB_10665_B</v>
      </c>
      <c r="C1129" s="19" t="str">
        <f>IFERROR(__xludf.DUMMYFUNCTION("""COMPUTED_VALUE"""),"BI10665")</f>
        <v>BI10665</v>
      </c>
      <c r="D1129" s="19" t="str">
        <f>IFERROR(__xludf.DUMMYFUNCTION("""COMPUTED_VALUE"""),"Mulchen Oriente NF RU")</f>
        <v>Mulchen Oriente NF RU</v>
      </c>
      <c r="E1129" s="19" t="str">
        <f>IFERROR(__xludf.DUMMYFUNCTION("""COMPUTED_VALUE"""),"SITIO RFI")</f>
        <v>SITIO RFI</v>
      </c>
      <c r="F1129" s="19"/>
      <c r="G1129" s="19" t="str">
        <f>IFERROR(__xludf.DUMMYFUNCTION("""COMPUTED_VALUE"""),"x")</f>
        <v>x</v>
      </c>
      <c r="H1129" s="19" t="str">
        <f>IFERROR(__xludf.DUMMYFUNCTION("""COMPUTED_VALUE"""),"x")</f>
        <v>x</v>
      </c>
      <c r="I1129" s="19" t="str">
        <f>IFERROR(__xludf.DUMMYFUNCTION("""COMPUTED_VALUE"""),"x")</f>
        <v>x</v>
      </c>
      <c r="J1129" s="20" t="str">
        <f>IFERROR(__xludf.DUMMYFUNCTION("""COMPUTED_VALUE"""),"x")</f>
        <v>x</v>
      </c>
      <c r="K1129" s="19" t="str">
        <f>IFERROR(__xludf.DUMMYFUNCTION("""COMPUTED_VALUE"""),"x")</f>
        <v>x</v>
      </c>
      <c r="L1129" s="20" t="str">
        <f>IFERROR(__xludf.DUMMYFUNCTION("""COMPUTED_VALUE"""),"x")</f>
        <v>x</v>
      </c>
      <c r="M1129" s="19" t="str">
        <f>IFERROR(__xludf.DUMMYFUNCTION("""COMPUTED_VALUE"""),"PCM_5")</f>
        <v>PCM_5</v>
      </c>
      <c r="N1129" s="19" t="str">
        <f>IFERROR(__xludf.DUMMYFUNCTION("""COMPUTED_VALUE"""),"PCM_5")</f>
        <v>PCM_5</v>
      </c>
    </row>
    <row r="1130" ht="15.75" customHeight="1">
      <c r="A1130" s="19" t="str">
        <f>IFERROR(__xludf.DUMMYFUNCTION("""COMPUTED_VALUE"""),"AB_11505")</f>
        <v>AB_11505</v>
      </c>
      <c r="B1130" s="19" t="str">
        <f>IFERROR(__xludf.DUMMYFUNCTION("""COMPUTED_VALUE"""),"AB_11505_A")</f>
        <v>AB_11505_A</v>
      </c>
      <c r="C1130" s="19" t="str">
        <f>IFERROR(__xludf.DUMMYFUNCTION("""COMPUTED_VALUE"""),"BI11505")</f>
        <v>BI11505</v>
      </c>
      <c r="D1130" s="19" t="str">
        <f>IFERROR(__xludf.DUMMYFUNCTION("""COMPUTED_VALUE"""),"Curanilahue Poniente Norte")</f>
        <v>Curanilahue Poniente Norte</v>
      </c>
      <c r="E1130" s="19" t="str">
        <f>IFERROR(__xludf.DUMMYFUNCTION("""COMPUTED_VALUE"""),"SITIO RFI")</f>
        <v>SITIO RFI</v>
      </c>
      <c r="F1130" s="19"/>
      <c r="G1130" s="19" t="str">
        <f>IFERROR(__xludf.DUMMYFUNCTION("""COMPUTED_VALUE"""),"x")</f>
        <v>x</v>
      </c>
      <c r="H1130" s="19" t="str">
        <f>IFERROR(__xludf.DUMMYFUNCTION("""COMPUTED_VALUE"""),"x")</f>
        <v>x</v>
      </c>
      <c r="I1130" s="19" t="str">
        <f>IFERROR(__xludf.DUMMYFUNCTION("""COMPUTED_VALUE"""),"x")</f>
        <v>x</v>
      </c>
      <c r="J1130" s="20" t="str">
        <f>IFERROR(__xludf.DUMMYFUNCTION("""COMPUTED_VALUE"""),"x")</f>
        <v>x</v>
      </c>
      <c r="K1130" s="19" t="str">
        <f>IFERROR(__xludf.DUMMYFUNCTION("""COMPUTED_VALUE"""),"x")</f>
        <v>x</v>
      </c>
      <c r="L1130" s="20" t="str">
        <f>IFERROR(__xludf.DUMMYFUNCTION("""COMPUTED_VALUE"""),"x")</f>
        <v>x</v>
      </c>
      <c r="M1130" s="19" t="str">
        <f>IFERROR(__xludf.DUMMYFUNCTION("""COMPUTED_VALUE"""),"PCM_4")</f>
        <v>PCM_4</v>
      </c>
      <c r="N1130" s="19" t="str">
        <f>IFERROR(__xludf.DUMMYFUNCTION("""COMPUTED_VALUE"""),"PRIORIDAD 3 Q1 2024 MARZO")</f>
        <v>PRIORIDAD 3 Q1 2024 MARZO</v>
      </c>
    </row>
    <row r="1131" ht="15.75" customHeight="1">
      <c r="A1131" s="19" t="str">
        <f>IFERROR(__xludf.DUMMYFUNCTION("""COMPUTED_VALUE"""),"AB_1160")</f>
        <v>AB_1160</v>
      </c>
      <c r="B1131" s="19" t="str">
        <f>IFERROR(__xludf.DUMMYFUNCTION("""COMPUTED_VALUE"""),"AB_1160_A")</f>
        <v>AB_1160_A</v>
      </c>
      <c r="C1131" s="19" t="str">
        <f>IFERROR(__xludf.DUMMYFUNCTION("""COMPUTED_VALUE"""),"BI1160")</f>
        <v>BI1160</v>
      </c>
      <c r="D1131" s="19" t="str">
        <f>IFERROR(__xludf.DUMMYFUNCTION("""COMPUTED_VALUE"""),"Rucahue")</f>
        <v>Rucahue</v>
      </c>
      <c r="E1131" s="19" t="str">
        <f>IFERROR(__xludf.DUMMYFUNCTION("""COMPUTED_VALUE"""),"SITIO RFI")</f>
        <v>SITIO RFI</v>
      </c>
      <c r="F1131" s="19"/>
      <c r="G1131" s="19" t="str">
        <f>IFERROR(__xludf.DUMMYFUNCTION("""COMPUTED_VALUE"""),"x")</f>
        <v>x</v>
      </c>
      <c r="H1131" s="19" t="str">
        <f>IFERROR(__xludf.DUMMYFUNCTION("""COMPUTED_VALUE"""),"x")</f>
        <v>x</v>
      </c>
      <c r="I1131" s="19" t="str">
        <f>IFERROR(__xludf.DUMMYFUNCTION("""COMPUTED_VALUE"""),"x")</f>
        <v>x</v>
      </c>
      <c r="J1131" s="20" t="str">
        <f>IFERROR(__xludf.DUMMYFUNCTION("""COMPUTED_VALUE"""),"x")</f>
        <v>x</v>
      </c>
      <c r="K1131" s="19" t="str">
        <f>IFERROR(__xludf.DUMMYFUNCTION("""COMPUTED_VALUE"""),"x")</f>
        <v>x</v>
      </c>
      <c r="L1131" s="20" t="str">
        <f>IFERROR(__xludf.DUMMYFUNCTION("""COMPUTED_VALUE"""),"x")</f>
        <v>x</v>
      </c>
      <c r="M1131" s="19" t="str">
        <f>IFERROR(__xludf.DUMMYFUNCTION("""COMPUTED_VALUE"""),"PCM")</f>
        <v>PCM</v>
      </c>
      <c r="N1131" s="19" t="str">
        <f>IFERROR(__xludf.DUMMYFUNCTION("""COMPUTED_VALUE"""),"PRIORIDAD 1 Q3 2023 OCTUBRE")</f>
        <v>PRIORIDAD 1 Q3 2023 OCTUBRE</v>
      </c>
    </row>
    <row r="1132" ht="15.75" customHeight="1">
      <c r="A1132" s="19" t="str">
        <f>IFERROR(__xludf.DUMMYFUNCTION("""COMPUTED_VALUE"""),"AB_1303")</f>
        <v>AB_1303</v>
      </c>
      <c r="B1132" s="19" t="str">
        <f>IFERROR(__xludf.DUMMYFUNCTION("""COMPUTED_VALUE"""),"AB_1303_C")</f>
        <v>AB_1303_C</v>
      </c>
      <c r="C1132" s="19" t="str">
        <f>IFERROR(__xludf.DUMMYFUNCTION("""COMPUTED_VALUE"""),"BI1303")</f>
        <v>BI1303</v>
      </c>
      <c r="D1132" s="19" t="str">
        <f>IFERROR(__xludf.DUMMYFUNCTION("""COMPUTED_VALUE"""),"Santa Juana")</f>
        <v>Santa Juana</v>
      </c>
      <c r="E1132" s="19" t="str">
        <f>IFERROR(__xludf.DUMMYFUNCTION("""COMPUTED_VALUE"""),"SITIO RFI")</f>
        <v>SITIO RFI</v>
      </c>
      <c r="F1132" s="19"/>
      <c r="G1132" s="19" t="str">
        <f>IFERROR(__xludf.DUMMYFUNCTION("""COMPUTED_VALUE"""),"x")</f>
        <v>x</v>
      </c>
      <c r="H1132" s="19" t="str">
        <f>IFERROR(__xludf.DUMMYFUNCTION("""COMPUTED_VALUE"""),"x")</f>
        <v>x</v>
      </c>
      <c r="I1132" s="19" t="str">
        <f>IFERROR(__xludf.DUMMYFUNCTION("""COMPUTED_VALUE"""),"x")</f>
        <v>x</v>
      </c>
      <c r="J1132" s="20" t="str">
        <f>IFERROR(__xludf.DUMMYFUNCTION("""COMPUTED_VALUE"""),"x")</f>
        <v>x</v>
      </c>
      <c r="K1132" s="19" t="str">
        <f>IFERROR(__xludf.DUMMYFUNCTION("""COMPUTED_VALUE"""),"x")</f>
        <v>x</v>
      </c>
      <c r="L1132" s="20" t="str">
        <f>IFERROR(__xludf.DUMMYFUNCTION("""COMPUTED_VALUE"""),"x")</f>
        <v>x</v>
      </c>
      <c r="M1132" s="19" t="str">
        <f>IFERROR(__xludf.DUMMYFUNCTION("""COMPUTED_VALUE"""),"PCM")</f>
        <v>PCM</v>
      </c>
      <c r="N1132" s="19" t="str">
        <f>IFERROR(__xludf.DUMMYFUNCTION("""COMPUTED_VALUE"""),"PRIORIDAD 1 Q3 2023 OCTUBRE")</f>
        <v>PRIORIDAD 1 Q3 2023 OCTUBRE</v>
      </c>
    </row>
    <row r="1133" ht="15.75" customHeight="1">
      <c r="A1133" s="19" t="str">
        <f>IFERROR(__xludf.DUMMYFUNCTION("""COMPUTED_VALUE"""),"AB_1672")</f>
        <v>AB_1672</v>
      </c>
      <c r="B1133" s="19" t="str">
        <f>IFERROR(__xludf.DUMMYFUNCTION("""COMPUTED_VALUE"""),"AB_1672_C")</f>
        <v>AB_1672_C</v>
      </c>
      <c r="C1133" s="19" t="str">
        <f>IFERROR(__xludf.DUMMYFUNCTION("""COMPUTED_VALUE"""),"BI1672")</f>
        <v>BI1672</v>
      </c>
      <c r="D1133" s="19" t="str">
        <f>IFERROR(__xludf.DUMMYFUNCTION("""COMPUTED_VALUE"""),"Carampangue")</f>
        <v>Carampangue</v>
      </c>
      <c r="E1133" s="19" t="str">
        <f>IFERROR(__xludf.DUMMYFUNCTION("""COMPUTED_VALUE"""),"SITIO RFI")</f>
        <v>SITIO RFI</v>
      </c>
      <c r="F1133" s="19"/>
      <c r="G1133" s="19" t="str">
        <f>IFERROR(__xludf.DUMMYFUNCTION("""COMPUTED_VALUE"""),"x")</f>
        <v>x</v>
      </c>
      <c r="H1133" s="19" t="str">
        <f>IFERROR(__xludf.DUMMYFUNCTION("""COMPUTED_VALUE"""),"x")</f>
        <v>x</v>
      </c>
      <c r="I1133" s="19" t="str">
        <f>IFERROR(__xludf.DUMMYFUNCTION("""COMPUTED_VALUE"""),"x")</f>
        <v>x</v>
      </c>
      <c r="J1133" s="20" t="str">
        <f>IFERROR(__xludf.DUMMYFUNCTION("""COMPUTED_VALUE"""),"x")</f>
        <v>x</v>
      </c>
      <c r="K1133" s="19" t="str">
        <f>IFERROR(__xludf.DUMMYFUNCTION("""COMPUTED_VALUE"""),"x")</f>
        <v>x</v>
      </c>
      <c r="L1133" s="20" t="str">
        <f>IFERROR(__xludf.DUMMYFUNCTION("""COMPUTED_VALUE"""),"x")</f>
        <v>x</v>
      </c>
      <c r="M1133" s="19" t="str">
        <f>IFERROR(__xludf.DUMMYFUNCTION("""COMPUTED_VALUE"""),"PCM")</f>
        <v>PCM</v>
      </c>
      <c r="N1133" s="19" t="str">
        <f>IFERROR(__xludf.DUMMYFUNCTION("""COMPUTED_VALUE"""),"PRIORIDAD 1 Q3 2023 OCTUBRE")</f>
        <v>PRIORIDAD 1 Q3 2023 OCTUBRE</v>
      </c>
    </row>
    <row r="1134" ht="15.75" customHeight="1">
      <c r="A1134" s="19" t="str">
        <f>IFERROR(__xludf.DUMMYFUNCTION("""COMPUTED_VALUE"""),"AB_1887")</f>
        <v>AB_1887</v>
      </c>
      <c r="B1134" s="19" t="str">
        <f>IFERROR(__xludf.DUMMYFUNCTION("""COMPUTED_VALUE"""),"AB_1887_F")</f>
        <v>AB_1887_F</v>
      </c>
      <c r="C1134" s="19" t="str">
        <f>IFERROR(__xludf.DUMMYFUNCTION("""COMPUTED_VALUE"""),"BI1887")</f>
        <v>BI1887</v>
      </c>
      <c r="D1134" s="19" t="str">
        <f>IFERROR(__xludf.DUMMYFUNCTION("""COMPUTED_VALUE"""),"Coronel Bypass 2")</f>
        <v>Coronel Bypass 2</v>
      </c>
      <c r="E1134" s="19" t="str">
        <f>IFERROR(__xludf.DUMMYFUNCTION("""COMPUTED_VALUE"""),"SITIO RFI")</f>
        <v>SITIO RFI</v>
      </c>
      <c r="F1134" s="19"/>
      <c r="G1134" s="19" t="str">
        <f>IFERROR(__xludf.DUMMYFUNCTION("""COMPUTED_VALUE"""),"x")</f>
        <v>x</v>
      </c>
      <c r="H1134" s="19" t="str">
        <f>IFERROR(__xludf.DUMMYFUNCTION("""COMPUTED_VALUE"""),"x")</f>
        <v>x</v>
      </c>
      <c r="I1134" s="19" t="str">
        <f>IFERROR(__xludf.DUMMYFUNCTION("""COMPUTED_VALUE"""),"x")</f>
        <v>x</v>
      </c>
      <c r="J1134" s="20" t="str">
        <f>IFERROR(__xludf.DUMMYFUNCTION("""COMPUTED_VALUE"""),"x")</f>
        <v>x</v>
      </c>
      <c r="K1134" s="19" t="str">
        <f>IFERROR(__xludf.DUMMYFUNCTION("""COMPUTED_VALUE"""),"x")</f>
        <v>x</v>
      </c>
      <c r="L1134" s="20" t="str">
        <f>IFERROR(__xludf.DUMMYFUNCTION("""COMPUTED_VALUE"""),"x")</f>
        <v>x</v>
      </c>
      <c r="M1134" s="19" t="str">
        <f>IFERROR(__xludf.DUMMYFUNCTION("""COMPUTED_VALUE"""),"PCM")</f>
        <v>PCM</v>
      </c>
      <c r="N1134" s="19" t="str">
        <f>IFERROR(__xludf.DUMMYFUNCTION("""COMPUTED_VALUE"""),"PRIORIDAD 1 Q3 2023 OCTUBRE")</f>
        <v>PRIORIDAD 1 Q3 2023 OCTUBRE</v>
      </c>
    </row>
    <row r="1135" ht="15.75" customHeight="1">
      <c r="A1135" s="19" t="str">
        <f>IFERROR(__xludf.DUMMYFUNCTION("""COMPUTED_VALUE"""),"AB_2168")</f>
        <v>AB_2168</v>
      </c>
      <c r="B1135" s="19" t="str">
        <f>IFERROR(__xludf.DUMMYFUNCTION("""COMPUTED_VALUE"""),"AB_2168_D")</f>
        <v>AB_2168_D</v>
      </c>
      <c r="C1135" s="19" t="str">
        <f>IFERROR(__xludf.DUMMYFUNCTION("""COMPUTED_VALUE"""),"BI2168")</f>
        <v>BI2168</v>
      </c>
      <c r="D1135" s="19" t="str">
        <f>IFERROR(__xludf.DUMMYFUNCTION("""COMPUTED_VALUE"""),"Hualqui Repetidor")</f>
        <v>Hualqui Repetidor</v>
      </c>
      <c r="E1135" s="19" t="str">
        <f>IFERROR(__xludf.DUMMYFUNCTION("""COMPUTED_VALUE"""),"SITIO RFI")</f>
        <v>SITIO RFI</v>
      </c>
      <c r="F1135" s="19"/>
      <c r="G1135" s="19" t="str">
        <f>IFERROR(__xludf.DUMMYFUNCTION("""COMPUTED_VALUE"""),"x")</f>
        <v>x</v>
      </c>
      <c r="H1135" s="19" t="str">
        <f>IFERROR(__xludf.DUMMYFUNCTION("""COMPUTED_VALUE"""),"x")</f>
        <v>x</v>
      </c>
      <c r="I1135" s="19" t="str">
        <f>IFERROR(__xludf.DUMMYFUNCTION("""COMPUTED_VALUE"""),"x")</f>
        <v>x</v>
      </c>
      <c r="J1135" s="20" t="str">
        <f>IFERROR(__xludf.DUMMYFUNCTION("""COMPUTED_VALUE"""),"x")</f>
        <v>x</v>
      </c>
      <c r="K1135" s="19" t="str">
        <f>IFERROR(__xludf.DUMMYFUNCTION("""COMPUTED_VALUE"""),"x")</f>
        <v>x</v>
      </c>
      <c r="L1135" s="20" t="str">
        <f>IFERROR(__xludf.DUMMYFUNCTION("""COMPUTED_VALUE"""),"x")</f>
        <v>x</v>
      </c>
      <c r="M1135" s="19" t="str">
        <f>IFERROR(__xludf.DUMMYFUNCTION("""COMPUTED_VALUE"""),"PCM")</f>
        <v>PCM</v>
      </c>
      <c r="N1135" s="19" t="str">
        <f>IFERROR(__xludf.DUMMYFUNCTION("""COMPUTED_VALUE"""),"PRIORIDAD 1 Q3 2023 OCTUBRE")</f>
        <v>PRIORIDAD 1 Q3 2023 OCTUBRE</v>
      </c>
    </row>
    <row r="1136" ht="15.75" customHeight="1">
      <c r="A1136" s="19" t="str">
        <f>IFERROR(__xludf.DUMMYFUNCTION("""COMPUTED_VALUE"""),"AB_3190")</f>
        <v>AB_3190</v>
      </c>
      <c r="B1136" s="19" t="str">
        <f>IFERROR(__xludf.DUMMYFUNCTION("""COMPUTED_VALUE"""),"AB_3190_F")</f>
        <v>AB_3190_F</v>
      </c>
      <c r="C1136" s="19" t="str">
        <f>IFERROR(__xludf.DUMMYFUNCTION("""COMPUTED_VALUE"""),"BI3190")</f>
        <v>BI3190</v>
      </c>
      <c r="D1136" s="19" t="str">
        <f>IFERROR(__xludf.DUMMYFUNCTION("""COMPUTED_VALUE"""),"Cerro La Pepa")</f>
        <v>Cerro La Pepa</v>
      </c>
      <c r="E1136" s="19" t="str">
        <f>IFERROR(__xludf.DUMMYFUNCTION("""COMPUTED_VALUE"""),"SITIO RFI")</f>
        <v>SITIO RFI</v>
      </c>
      <c r="F1136" s="19"/>
      <c r="G1136" s="19" t="str">
        <f>IFERROR(__xludf.DUMMYFUNCTION("""COMPUTED_VALUE"""),"x")</f>
        <v>x</v>
      </c>
      <c r="H1136" s="19" t="str">
        <f>IFERROR(__xludf.DUMMYFUNCTION("""COMPUTED_VALUE"""),"x")</f>
        <v>x</v>
      </c>
      <c r="I1136" s="19" t="str">
        <f>IFERROR(__xludf.DUMMYFUNCTION("""COMPUTED_VALUE"""),"x")</f>
        <v>x</v>
      </c>
      <c r="J1136" s="20" t="str">
        <f>IFERROR(__xludf.DUMMYFUNCTION("""COMPUTED_VALUE"""),"x")</f>
        <v>x</v>
      </c>
      <c r="K1136" s="19" t="str">
        <f>IFERROR(__xludf.DUMMYFUNCTION("""COMPUTED_VALUE"""),"x")</f>
        <v>x</v>
      </c>
      <c r="L1136" s="20" t="str">
        <f>IFERROR(__xludf.DUMMYFUNCTION("""COMPUTED_VALUE"""),"x")</f>
        <v>x</v>
      </c>
      <c r="M1136" s="19" t="str">
        <f>IFERROR(__xludf.DUMMYFUNCTION("""COMPUTED_VALUE"""),"PCM")</f>
        <v>PCM</v>
      </c>
      <c r="N1136" s="19" t="str">
        <f>IFERROR(__xludf.DUMMYFUNCTION("""COMPUTED_VALUE"""),"PRIORIDAD 1 Q3 2023 OCTUBRE")</f>
        <v>PRIORIDAD 1 Q3 2023 OCTUBRE</v>
      </c>
    </row>
    <row r="1137" ht="15.75" customHeight="1">
      <c r="A1137" s="19" t="str">
        <f>IFERROR(__xludf.DUMMYFUNCTION("""COMPUTED_VALUE"""),"AB_4354")</f>
        <v>AB_4354</v>
      </c>
      <c r="B1137" s="19" t="str">
        <f>IFERROR(__xludf.DUMMYFUNCTION("""COMPUTED_VALUE"""),"AB_4354_A")</f>
        <v>AB_4354_A</v>
      </c>
      <c r="C1137" s="19" t="str">
        <f>IFERROR(__xludf.DUMMYFUNCTION("""COMPUTED_VALUE"""),"BI4354")</f>
        <v>BI4354</v>
      </c>
      <c r="D1137" s="19" t="str">
        <f>IFERROR(__xludf.DUMMYFUNCTION("""COMPUTED_VALUE"""),"Eduardo Negrete")</f>
        <v>Eduardo Negrete</v>
      </c>
      <c r="E1137" s="19" t="str">
        <f>IFERROR(__xludf.DUMMYFUNCTION("""COMPUTED_VALUE"""),"SITIO RFI")</f>
        <v>SITIO RFI</v>
      </c>
      <c r="F1137" s="19"/>
      <c r="G1137" s="19" t="str">
        <f>IFERROR(__xludf.DUMMYFUNCTION("""COMPUTED_VALUE"""),"x")</f>
        <v>x</v>
      </c>
      <c r="H1137" s="19" t="str">
        <f>IFERROR(__xludf.DUMMYFUNCTION("""COMPUTED_VALUE"""),"x")</f>
        <v>x</v>
      </c>
      <c r="I1137" s="19" t="str">
        <f>IFERROR(__xludf.DUMMYFUNCTION("""COMPUTED_VALUE"""),"x")</f>
        <v>x</v>
      </c>
      <c r="J1137" s="20" t="str">
        <f>IFERROR(__xludf.DUMMYFUNCTION("""COMPUTED_VALUE"""),"x")</f>
        <v>x</v>
      </c>
      <c r="K1137" s="19" t="str">
        <f>IFERROR(__xludf.DUMMYFUNCTION("""COMPUTED_VALUE"""),"x")</f>
        <v>x</v>
      </c>
      <c r="L1137" s="20" t="str">
        <f>IFERROR(__xludf.DUMMYFUNCTION("""COMPUTED_VALUE"""),"x")</f>
        <v>x</v>
      </c>
      <c r="M1137" s="19" t="str">
        <f>IFERROR(__xludf.DUMMYFUNCTION("""COMPUTED_VALUE"""),"PCM")</f>
        <v>PCM</v>
      </c>
      <c r="N1137" s="19" t="str">
        <f>IFERROR(__xludf.DUMMYFUNCTION("""COMPUTED_VALUE"""),"PRIORIDAD 1 Q3 2023 OCTUBRE")</f>
        <v>PRIORIDAD 1 Q3 2023 OCTUBRE</v>
      </c>
    </row>
    <row r="1138" ht="15.75" customHeight="1">
      <c r="A1138" s="19" t="str">
        <f>IFERROR(__xludf.DUMMYFUNCTION("""COMPUTED_VALUE"""),"AB_4386")</f>
        <v>AB_4386</v>
      </c>
      <c r="B1138" s="19" t="str">
        <f>IFERROR(__xludf.DUMMYFUNCTION("""COMPUTED_VALUE"""),"AB_4386_C")</f>
        <v>AB_4386_C</v>
      </c>
      <c r="C1138" s="19" t="str">
        <f>IFERROR(__xludf.DUMMYFUNCTION("""COMPUTED_VALUE"""),"BI4386")</f>
        <v>BI4386</v>
      </c>
      <c r="D1138" s="19" t="str">
        <f>IFERROR(__xludf.DUMMYFUNCTION("""COMPUTED_VALUE"""),"Aeropuerto Carriel Sur Reubicacion")</f>
        <v>Aeropuerto Carriel Sur Reubicacion</v>
      </c>
      <c r="E1138" s="19" t="str">
        <f>IFERROR(__xludf.DUMMYFUNCTION("""COMPUTED_VALUE"""),"SITIO RFI")</f>
        <v>SITIO RFI</v>
      </c>
      <c r="F1138" s="19"/>
      <c r="G1138" s="19" t="str">
        <f>IFERROR(__xludf.DUMMYFUNCTION("""COMPUTED_VALUE"""),"x")</f>
        <v>x</v>
      </c>
      <c r="H1138" s="19" t="str">
        <f>IFERROR(__xludf.DUMMYFUNCTION("""COMPUTED_VALUE"""),"x")</f>
        <v>x</v>
      </c>
      <c r="I1138" s="19" t="str">
        <f>IFERROR(__xludf.DUMMYFUNCTION("""COMPUTED_VALUE"""),"x")</f>
        <v>x</v>
      </c>
      <c r="J1138" s="20" t="str">
        <f>IFERROR(__xludf.DUMMYFUNCTION("""COMPUTED_VALUE"""),"x")</f>
        <v>x</v>
      </c>
      <c r="K1138" s="19" t="str">
        <f>IFERROR(__xludf.DUMMYFUNCTION("""COMPUTED_VALUE"""),"x")</f>
        <v>x</v>
      </c>
      <c r="L1138" s="20" t="str">
        <f>IFERROR(__xludf.DUMMYFUNCTION("""COMPUTED_VALUE"""),"x")</f>
        <v>x</v>
      </c>
      <c r="M1138" s="19" t="str">
        <f>IFERROR(__xludf.DUMMYFUNCTION("""COMPUTED_VALUE"""),"PP")</f>
        <v>PP</v>
      </c>
      <c r="N1138" s="19" t="str">
        <f>IFERROR(__xludf.DUMMYFUNCTION("""COMPUTED_VALUE"""),"PRIORIDAD 1 Q3 2023 OCTUBRE")</f>
        <v>PRIORIDAD 1 Q3 2023 OCTUBRE</v>
      </c>
    </row>
    <row r="1139" ht="15.75" customHeight="1">
      <c r="A1139" s="19" t="str">
        <f>IFERROR(__xludf.DUMMYFUNCTION("""COMPUTED_VALUE"""),"AB_4594")</f>
        <v>AB_4594</v>
      </c>
      <c r="B1139" s="19" t="str">
        <f>IFERROR(__xludf.DUMMYFUNCTION("""COMPUTED_VALUE"""),"AB_4594_H")</f>
        <v>AB_4594_H</v>
      </c>
      <c r="C1139" s="19" t="str">
        <f>IFERROR(__xludf.DUMMYFUNCTION("""COMPUTED_VALUE"""),"BI4594")</f>
        <v>BI4594</v>
      </c>
      <c r="D1139" s="19" t="str">
        <f>IFERROR(__xludf.DUMMYFUNCTION("""COMPUTED_VALUE"""),"Colon Chiguayante")</f>
        <v>Colon Chiguayante</v>
      </c>
      <c r="E1139" s="19" t="str">
        <f>IFERROR(__xludf.DUMMYFUNCTION("""COMPUTED_VALUE"""),"SITIO RFI")</f>
        <v>SITIO RFI</v>
      </c>
      <c r="F1139" s="19"/>
      <c r="G1139" s="19" t="str">
        <f>IFERROR(__xludf.DUMMYFUNCTION("""COMPUTED_VALUE"""),"x")</f>
        <v>x</v>
      </c>
      <c r="H1139" s="19" t="str">
        <f>IFERROR(__xludf.DUMMYFUNCTION("""COMPUTED_VALUE"""),"x")</f>
        <v>x</v>
      </c>
      <c r="I1139" s="19" t="str">
        <f>IFERROR(__xludf.DUMMYFUNCTION("""COMPUTED_VALUE"""),"x")</f>
        <v>x</v>
      </c>
      <c r="J1139" s="20" t="str">
        <f>IFERROR(__xludf.DUMMYFUNCTION("""COMPUTED_VALUE"""),"x")</f>
        <v>x</v>
      </c>
      <c r="K1139" s="19" t="str">
        <f>IFERROR(__xludf.DUMMYFUNCTION("""COMPUTED_VALUE"""),"x")</f>
        <v>x</v>
      </c>
      <c r="L1139" s="20" t="str">
        <f>IFERROR(__xludf.DUMMYFUNCTION("""COMPUTED_VALUE"""),"x")</f>
        <v>x</v>
      </c>
      <c r="M1139" s="19" t="str">
        <f>IFERROR(__xludf.DUMMYFUNCTION("""COMPUTED_VALUE"""),"PCM")</f>
        <v>PCM</v>
      </c>
      <c r="N1139" s="19" t="str">
        <f>IFERROR(__xludf.DUMMYFUNCTION("""COMPUTED_VALUE"""),"PRIORIDAD 1 Q3 2023 OCTUBRE")</f>
        <v>PRIORIDAD 1 Q3 2023 OCTUBRE</v>
      </c>
    </row>
    <row r="1140" ht="15.75" customHeight="1">
      <c r="A1140" s="19" t="str">
        <f>IFERROR(__xludf.DUMMYFUNCTION("""COMPUTED_VALUE"""),"AB_9789")</f>
        <v>AB_9789</v>
      </c>
      <c r="B1140" s="19" t="str">
        <f>IFERROR(__xludf.DUMMYFUNCTION("""COMPUTED_VALUE"""),"AB_9789_A")</f>
        <v>AB_9789_A</v>
      </c>
      <c r="C1140" s="19" t="str">
        <f>IFERROR(__xludf.DUMMYFUNCTION("""COMPUTED_VALUE"""),"AP9789")</f>
        <v>AP9789</v>
      </c>
      <c r="D1140" s="19" t="str">
        <f>IFERROR(__xludf.DUMMYFUNCTION("""COMPUTED_VALUE"""),"Teleschuño")</f>
        <v>Teleschuño</v>
      </c>
      <c r="E1140" s="19" t="str">
        <f>IFERROR(__xludf.DUMMYFUNCTION("""COMPUTED_VALUE"""),"SITIO EN CONSTRUCCION")</f>
        <v>SITIO EN CONSTRUCCION</v>
      </c>
      <c r="F1140" s="19" t="str">
        <f>IFERROR(__xludf.DUMMYFUNCTION("""COMPUTED_VALUE"""),"EXCAVACION")</f>
        <v>EXCAVACION</v>
      </c>
      <c r="G1140" s="19" t="str">
        <f>IFERROR(__xludf.DUMMYFUNCTION("""COMPUTED_VALUE"""),"CV36")</f>
        <v>CV36</v>
      </c>
      <c r="H1140" s="19" t="str">
        <f>IFERROR(__xludf.DUMMYFUNCTION("""COMPUTED_VALUE"""),"INGENIUS")</f>
        <v>INGENIUS</v>
      </c>
      <c r="I1140" s="19" t="str">
        <f>IFERROR(__xludf.DUMMYFUNCTION("""COMPUTED_VALUE"""),"Entregada")</f>
        <v>Entregada</v>
      </c>
      <c r="J1140" s="20">
        <f>IFERROR(__xludf.DUMMYFUNCTION("""COMPUTED_VALUE"""),45041.0)</f>
        <v>45041</v>
      </c>
      <c r="K1140" s="19" t="str">
        <f>IFERROR(__xludf.DUMMYFUNCTION("""COMPUTED_VALUE"""),"Entregada")</f>
        <v>Entregada</v>
      </c>
      <c r="L1140" s="20">
        <f>IFERROR(__xludf.DUMMYFUNCTION("""COMPUTED_VALUE"""),45124.0)</f>
        <v>45124</v>
      </c>
      <c r="M1140" s="19" t="str">
        <f>IFERROR(__xludf.DUMMYFUNCTION("""COMPUTED_VALUE"""),"PCM")</f>
        <v>PCM</v>
      </c>
      <c r="N1140" s="19" t="str">
        <f>IFERROR(__xludf.DUMMYFUNCTION("""COMPUTED_VALUE"""),"PRIORIDAD 1 Q3 2023 OCTUBRE")</f>
        <v>PRIORIDAD 1 Q3 2023 OCTUBRE</v>
      </c>
    </row>
    <row r="1141" ht="15.75" customHeight="1">
      <c r="A1141" s="19" t="str">
        <f>IFERROR(__xludf.DUMMYFUNCTION("""COMPUTED_VALUE"""),"AB_5001")</f>
        <v>AB_5001</v>
      </c>
      <c r="B1141" s="19" t="str">
        <f>IFERROR(__xludf.DUMMYFUNCTION("""COMPUTED_VALUE"""),"AB_5001_B")</f>
        <v>AB_5001_B</v>
      </c>
      <c r="C1141" s="19" t="str">
        <f>IFERROR(__xludf.DUMMYFUNCTION("""COMPUTED_VALUE"""),"BI5001")</f>
        <v>BI5001</v>
      </c>
      <c r="D1141" s="19" t="str">
        <f>IFERROR(__xludf.DUMMYFUNCTION("""COMPUTED_VALUE"""),"Jaime Repullo")</f>
        <v>Jaime Repullo</v>
      </c>
      <c r="E1141" s="19" t="str">
        <f>IFERROR(__xludf.DUMMYFUNCTION("""COMPUTED_VALUE"""),"SITIO RFI")</f>
        <v>SITIO RFI</v>
      </c>
      <c r="F1141" s="19"/>
      <c r="G1141" s="19" t="str">
        <f>IFERROR(__xludf.DUMMYFUNCTION("""COMPUTED_VALUE"""),"x")</f>
        <v>x</v>
      </c>
      <c r="H1141" s="19" t="str">
        <f>IFERROR(__xludf.DUMMYFUNCTION("""COMPUTED_VALUE"""),"x")</f>
        <v>x</v>
      </c>
      <c r="I1141" s="19" t="str">
        <f>IFERROR(__xludf.DUMMYFUNCTION("""COMPUTED_VALUE"""),"x")</f>
        <v>x</v>
      </c>
      <c r="J1141" s="20" t="str">
        <f>IFERROR(__xludf.DUMMYFUNCTION("""COMPUTED_VALUE"""),"x")</f>
        <v>x</v>
      </c>
      <c r="K1141" s="19" t="str">
        <f>IFERROR(__xludf.DUMMYFUNCTION("""COMPUTED_VALUE"""),"x")</f>
        <v>x</v>
      </c>
      <c r="L1141" s="20" t="str">
        <f>IFERROR(__xludf.DUMMYFUNCTION("""COMPUTED_VALUE"""),"x")</f>
        <v>x</v>
      </c>
      <c r="M1141" s="19" t="str">
        <f>IFERROR(__xludf.DUMMYFUNCTION("""COMPUTED_VALUE"""),"PCM")</f>
        <v>PCM</v>
      </c>
      <c r="N1141" s="19" t="str">
        <f>IFERROR(__xludf.DUMMYFUNCTION("""COMPUTED_VALUE"""),"PRIORIDAD 1 Q3 2023 OCTUBRE")</f>
        <v>PRIORIDAD 1 Q3 2023 OCTUBRE</v>
      </c>
    </row>
    <row r="1142" ht="15.75" customHeight="1">
      <c r="A1142" s="19" t="str">
        <f>IFERROR(__xludf.DUMMYFUNCTION("""COMPUTED_VALUE"""),"AB_5754")</f>
        <v>AB_5754</v>
      </c>
      <c r="B1142" s="19" t="str">
        <f>IFERROR(__xludf.DUMMYFUNCTION("""COMPUTED_VALUE"""),"AB_5754_B")</f>
        <v>AB_5754_B</v>
      </c>
      <c r="C1142" s="19" t="str">
        <f>IFERROR(__xludf.DUMMYFUNCTION("""COMPUTED_VALUE"""),"BI5754")</f>
        <v>BI5754</v>
      </c>
      <c r="D1142" s="19" t="str">
        <f>IFERROR(__xludf.DUMMYFUNCTION("""COMPUTED_VALUE"""),"Cerro Caipo")</f>
        <v>Cerro Caipo</v>
      </c>
      <c r="E1142" s="19" t="str">
        <f>IFERROR(__xludf.DUMMYFUNCTION("""COMPUTED_VALUE"""),"SITIO RFI")</f>
        <v>SITIO RFI</v>
      </c>
      <c r="F1142" s="19"/>
      <c r="G1142" s="19" t="str">
        <f>IFERROR(__xludf.DUMMYFUNCTION("""COMPUTED_VALUE"""),"x")</f>
        <v>x</v>
      </c>
      <c r="H1142" s="19" t="str">
        <f>IFERROR(__xludf.DUMMYFUNCTION("""COMPUTED_VALUE"""),"x")</f>
        <v>x</v>
      </c>
      <c r="I1142" s="19" t="str">
        <f>IFERROR(__xludf.DUMMYFUNCTION("""COMPUTED_VALUE"""),"x")</f>
        <v>x</v>
      </c>
      <c r="J1142" s="20" t="str">
        <f>IFERROR(__xludf.DUMMYFUNCTION("""COMPUTED_VALUE"""),"x")</f>
        <v>x</v>
      </c>
      <c r="K1142" s="19" t="str">
        <f>IFERROR(__xludf.DUMMYFUNCTION("""COMPUTED_VALUE"""),"x")</f>
        <v>x</v>
      </c>
      <c r="L1142" s="20" t="str">
        <f>IFERROR(__xludf.DUMMYFUNCTION("""COMPUTED_VALUE"""),"x")</f>
        <v>x</v>
      </c>
      <c r="M1142" s="19" t="str">
        <f>IFERROR(__xludf.DUMMYFUNCTION("""COMPUTED_VALUE"""),"PCM")</f>
        <v>PCM</v>
      </c>
      <c r="N1142" s="19" t="str">
        <f>IFERROR(__xludf.DUMMYFUNCTION("""COMPUTED_VALUE"""),"PRIORIDAD 1 Q3 2023 OCTUBRE")</f>
        <v>PRIORIDAD 1 Q3 2023 OCTUBRE</v>
      </c>
    </row>
    <row r="1143" ht="15.75" customHeight="1">
      <c r="A1143" s="19" t="str">
        <f>IFERROR(__xludf.DUMMYFUNCTION("""COMPUTED_VALUE"""),"AB_7615")</f>
        <v>AB_7615</v>
      </c>
      <c r="B1143" s="19" t="str">
        <f>IFERROR(__xludf.DUMMYFUNCTION("""COMPUTED_VALUE"""),"AB_7615_B")</f>
        <v>AB_7615_B</v>
      </c>
      <c r="C1143" s="19" t="str">
        <f>IFERROR(__xludf.DUMMYFUNCTION("""COMPUTED_VALUE"""),"BI7615")</f>
        <v>BI7615</v>
      </c>
      <c r="D1143" s="19" t="str">
        <f>IFERROR(__xludf.DUMMYFUNCTION("""COMPUTED_VALUE"""),"UDEC Vicerrectoria asuntos economicos")</f>
        <v>UDEC Vicerrectoria asuntos economicos</v>
      </c>
      <c r="E1143" s="19" t="str">
        <f>IFERROR(__xludf.DUMMYFUNCTION("""COMPUTED_VALUE"""),"SITIO RFI")</f>
        <v>SITIO RFI</v>
      </c>
      <c r="F1143" s="19" t="str">
        <f>IFERROR(__xludf.DUMMYFUNCTION("""COMPUTED_VALUE"""),"RFI")</f>
        <v>RFI</v>
      </c>
      <c r="G1143" s="19" t="str">
        <f>IFERROR(__xludf.DUMMYFUNCTION("""COMPUTED_VALUE"""),"x")</f>
        <v>x</v>
      </c>
      <c r="H1143" s="19" t="str">
        <f>IFERROR(__xludf.DUMMYFUNCTION("""COMPUTED_VALUE"""),"x")</f>
        <v>x</v>
      </c>
      <c r="I1143" s="19" t="str">
        <f>IFERROR(__xludf.DUMMYFUNCTION("""COMPUTED_VALUE"""),"x")</f>
        <v>x</v>
      </c>
      <c r="J1143" s="20" t="str">
        <f>IFERROR(__xludf.DUMMYFUNCTION("""COMPUTED_VALUE"""),"x")</f>
        <v>x</v>
      </c>
      <c r="K1143" s="19" t="str">
        <f>IFERROR(__xludf.DUMMYFUNCTION("""COMPUTED_VALUE"""),"x")</f>
        <v>x</v>
      </c>
      <c r="L1143" s="20" t="str">
        <f>IFERROR(__xludf.DUMMYFUNCTION("""COMPUTED_VALUE"""),"x")</f>
        <v>x</v>
      </c>
      <c r="M1143" s="19" t="str">
        <f>IFERROR(__xludf.DUMMYFUNCTION("""COMPUTED_VALUE"""),"PP")</f>
        <v>PP</v>
      </c>
      <c r="N1143" s="19" t="str">
        <f>IFERROR(__xludf.DUMMYFUNCTION("""COMPUTED_VALUE"""),"PRIORIDAD 1 Q3 2023 OCTUBRE")</f>
        <v>PRIORIDAD 1 Q3 2023 OCTUBRE</v>
      </c>
    </row>
    <row r="1144" ht="15.75" customHeight="1">
      <c r="A1144" s="19" t="str">
        <f>IFERROR(__xludf.DUMMYFUNCTION("""COMPUTED_VALUE"""),"AB_8118")</f>
        <v>AB_8118</v>
      </c>
      <c r="B1144" s="19" t="str">
        <f>IFERROR(__xludf.DUMMYFUNCTION("""COMPUTED_VALUE"""),"AB_8118_A")</f>
        <v>AB_8118_A</v>
      </c>
      <c r="C1144" s="19" t="str">
        <f>IFERROR(__xludf.DUMMYFUNCTION("""COMPUTED_VALUE"""),"BI8118")</f>
        <v>BI8118</v>
      </c>
      <c r="D1144" s="19" t="str">
        <f>IFERROR(__xludf.DUMMYFUNCTION("""COMPUTED_VALUE"""),"Escuadrón Cerro")</f>
        <v>Escuadrón Cerro</v>
      </c>
      <c r="E1144" s="19" t="str">
        <f>IFERROR(__xludf.DUMMYFUNCTION("""COMPUTED_VALUE"""),"SITIO RFI")</f>
        <v>SITIO RFI</v>
      </c>
      <c r="F1144" s="19"/>
      <c r="G1144" s="19" t="str">
        <f>IFERROR(__xludf.DUMMYFUNCTION("""COMPUTED_VALUE"""),"x")</f>
        <v>x</v>
      </c>
      <c r="H1144" s="19" t="str">
        <f>IFERROR(__xludf.DUMMYFUNCTION("""COMPUTED_VALUE"""),"x")</f>
        <v>x</v>
      </c>
      <c r="I1144" s="19" t="str">
        <f>IFERROR(__xludf.DUMMYFUNCTION("""COMPUTED_VALUE"""),"x")</f>
        <v>x</v>
      </c>
      <c r="J1144" s="20" t="str">
        <f>IFERROR(__xludf.DUMMYFUNCTION("""COMPUTED_VALUE"""),"x")</f>
        <v>x</v>
      </c>
      <c r="K1144" s="19" t="str">
        <f>IFERROR(__xludf.DUMMYFUNCTION("""COMPUTED_VALUE"""),"x")</f>
        <v>x</v>
      </c>
      <c r="L1144" s="20" t="str">
        <f>IFERROR(__xludf.DUMMYFUNCTION("""COMPUTED_VALUE"""),"x")</f>
        <v>x</v>
      </c>
      <c r="M1144" s="19" t="str">
        <f>IFERROR(__xludf.DUMMYFUNCTION("""COMPUTED_VALUE"""),"PCM")</f>
        <v>PCM</v>
      </c>
      <c r="N1144" s="19" t="str">
        <f>IFERROR(__xludf.DUMMYFUNCTION("""COMPUTED_VALUE"""),"PRIORIDAD 1 Q3 2023 OCTUBRE")</f>
        <v>PRIORIDAD 1 Q3 2023 OCTUBRE</v>
      </c>
    </row>
    <row r="1145" ht="15.75" customHeight="1">
      <c r="A1145" s="19" t="str">
        <f>IFERROR(__xludf.DUMMYFUNCTION("""COMPUTED_VALUE"""),"AB_8168")</f>
        <v>AB_8168</v>
      </c>
      <c r="B1145" s="19" t="str">
        <f>IFERROR(__xludf.DUMMYFUNCTION("""COMPUTED_VALUE"""),"AB_8168_A")</f>
        <v>AB_8168_A</v>
      </c>
      <c r="C1145" s="19" t="str">
        <f>IFERROR(__xludf.DUMMYFUNCTION("""COMPUTED_VALUE"""),"BI8168")</f>
        <v>BI8168</v>
      </c>
      <c r="D1145" s="19" t="str">
        <f>IFERROR(__xludf.DUMMYFUNCTION("""COMPUTED_VALUE"""),"Ruta 152 Juan Chico")</f>
        <v>Ruta 152 Juan Chico</v>
      </c>
      <c r="E1145" s="19" t="str">
        <f>IFERROR(__xludf.DUMMYFUNCTION("""COMPUTED_VALUE"""),"SITIO RFI")</f>
        <v>SITIO RFI</v>
      </c>
      <c r="F1145" s="19"/>
      <c r="G1145" s="19" t="str">
        <f>IFERROR(__xludf.DUMMYFUNCTION("""COMPUTED_VALUE"""),"x")</f>
        <v>x</v>
      </c>
      <c r="H1145" s="19" t="str">
        <f>IFERROR(__xludf.DUMMYFUNCTION("""COMPUTED_VALUE"""),"x")</f>
        <v>x</v>
      </c>
      <c r="I1145" s="19" t="str">
        <f>IFERROR(__xludf.DUMMYFUNCTION("""COMPUTED_VALUE"""),"x")</f>
        <v>x</v>
      </c>
      <c r="J1145" s="20" t="str">
        <f>IFERROR(__xludf.DUMMYFUNCTION("""COMPUTED_VALUE"""),"x")</f>
        <v>x</v>
      </c>
      <c r="K1145" s="19" t="str">
        <f>IFERROR(__xludf.DUMMYFUNCTION("""COMPUTED_VALUE"""),"x")</f>
        <v>x</v>
      </c>
      <c r="L1145" s="20" t="str">
        <f>IFERROR(__xludf.DUMMYFUNCTION("""COMPUTED_VALUE"""),"x")</f>
        <v>x</v>
      </c>
      <c r="M1145" s="19" t="str">
        <f>IFERROR(__xludf.DUMMYFUNCTION("""COMPUTED_VALUE"""),"PCM")</f>
        <v>PCM</v>
      </c>
      <c r="N1145" s="19" t="str">
        <f>IFERROR(__xludf.DUMMYFUNCTION("""COMPUTED_VALUE"""),"PRIORIDAD 1 Q3 2023 OCTUBRE")</f>
        <v>PRIORIDAD 1 Q3 2023 OCTUBRE</v>
      </c>
    </row>
    <row r="1146" ht="15.75" customHeight="1">
      <c r="A1146" s="19" t="str">
        <f>IFERROR(__xludf.DUMMYFUNCTION("""COMPUTED_VALUE"""),"AB_8169")</f>
        <v>AB_8169</v>
      </c>
      <c r="B1146" s="19" t="str">
        <f>IFERROR(__xludf.DUMMYFUNCTION("""COMPUTED_VALUE"""),"AB_8169_C")</f>
        <v>AB_8169_C</v>
      </c>
      <c r="C1146" s="19" t="str">
        <f>IFERROR(__xludf.DUMMYFUNCTION("""COMPUTED_VALUE"""),"BI8169")</f>
        <v>BI8169</v>
      </c>
      <c r="D1146" s="19" t="str">
        <f>IFERROR(__xludf.DUMMYFUNCTION("""COMPUTED_VALUE"""),"Morguilla Lebu")</f>
        <v>Morguilla Lebu</v>
      </c>
      <c r="E1146" s="19" t="str">
        <f>IFERROR(__xludf.DUMMYFUNCTION("""COMPUTED_VALUE"""),"SITIO RFI")</f>
        <v>SITIO RFI</v>
      </c>
      <c r="F1146" s="19"/>
      <c r="G1146" s="19" t="str">
        <f>IFERROR(__xludf.DUMMYFUNCTION("""COMPUTED_VALUE"""),"x")</f>
        <v>x</v>
      </c>
      <c r="H1146" s="19" t="str">
        <f>IFERROR(__xludf.DUMMYFUNCTION("""COMPUTED_VALUE"""),"x")</f>
        <v>x</v>
      </c>
      <c r="I1146" s="19" t="str">
        <f>IFERROR(__xludf.DUMMYFUNCTION("""COMPUTED_VALUE"""),"x")</f>
        <v>x</v>
      </c>
      <c r="J1146" s="20" t="str">
        <f>IFERROR(__xludf.DUMMYFUNCTION("""COMPUTED_VALUE"""),"x")</f>
        <v>x</v>
      </c>
      <c r="K1146" s="19" t="str">
        <f>IFERROR(__xludf.DUMMYFUNCTION("""COMPUTED_VALUE"""),"x")</f>
        <v>x</v>
      </c>
      <c r="L1146" s="20" t="str">
        <f>IFERROR(__xludf.DUMMYFUNCTION("""COMPUTED_VALUE"""),"x")</f>
        <v>x</v>
      </c>
      <c r="M1146" s="19" t="str">
        <f>IFERROR(__xludf.DUMMYFUNCTION("""COMPUTED_VALUE"""),"PCM")</f>
        <v>PCM</v>
      </c>
      <c r="N1146" s="19" t="str">
        <f>IFERROR(__xludf.DUMMYFUNCTION("""COMPUTED_VALUE"""),"PRIORIDAD 1 Q3 2023 OCTUBRE")</f>
        <v>PRIORIDAD 1 Q3 2023 OCTUBRE</v>
      </c>
    </row>
    <row r="1147" ht="15.75" customHeight="1">
      <c r="A1147" s="19" t="str">
        <f>IFERROR(__xludf.DUMMYFUNCTION("""COMPUTED_VALUE"""),"AB_8173")</f>
        <v>AB_8173</v>
      </c>
      <c r="B1147" s="19" t="str">
        <f>IFERROR(__xludf.DUMMYFUNCTION("""COMPUTED_VALUE"""),"AB_8173_A")</f>
        <v>AB_8173_A</v>
      </c>
      <c r="C1147" s="19" t="str">
        <f>IFERROR(__xludf.DUMMYFUNCTION("""COMPUTED_VALUE"""),"BI8173")</f>
        <v>BI8173</v>
      </c>
      <c r="D1147" s="19" t="str">
        <f>IFERROR(__xludf.DUMMYFUNCTION("""COMPUTED_VALUE"""),"Bajo Los Ríos Curanilahue")</f>
        <v>Bajo Los Ríos Curanilahue</v>
      </c>
      <c r="E1147" s="19" t="str">
        <f>IFERROR(__xludf.DUMMYFUNCTION("""COMPUTED_VALUE"""),"SITIO RFI")</f>
        <v>SITIO RFI</v>
      </c>
      <c r="F1147" s="19"/>
      <c r="G1147" s="19" t="str">
        <f>IFERROR(__xludf.DUMMYFUNCTION("""COMPUTED_VALUE"""),"x")</f>
        <v>x</v>
      </c>
      <c r="H1147" s="19" t="str">
        <f>IFERROR(__xludf.DUMMYFUNCTION("""COMPUTED_VALUE"""),"x")</f>
        <v>x</v>
      </c>
      <c r="I1147" s="19" t="str">
        <f>IFERROR(__xludf.DUMMYFUNCTION("""COMPUTED_VALUE"""),"x")</f>
        <v>x</v>
      </c>
      <c r="J1147" s="20" t="str">
        <f>IFERROR(__xludf.DUMMYFUNCTION("""COMPUTED_VALUE"""),"x")</f>
        <v>x</v>
      </c>
      <c r="K1147" s="19" t="str">
        <f>IFERROR(__xludf.DUMMYFUNCTION("""COMPUTED_VALUE"""),"x")</f>
        <v>x</v>
      </c>
      <c r="L1147" s="20" t="str">
        <f>IFERROR(__xludf.DUMMYFUNCTION("""COMPUTED_VALUE"""),"x")</f>
        <v>x</v>
      </c>
      <c r="M1147" s="19" t="str">
        <f>IFERROR(__xludf.DUMMYFUNCTION("""COMPUTED_VALUE"""),"PCM")</f>
        <v>PCM</v>
      </c>
      <c r="N1147" s="19" t="str">
        <f>IFERROR(__xludf.DUMMYFUNCTION("""COMPUTED_VALUE"""),"PRIORIDAD 1 Q3 2023 OCTUBRE")</f>
        <v>PRIORIDAD 1 Q3 2023 OCTUBRE</v>
      </c>
    </row>
    <row r="1148" ht="15.75" customHeight="1">
      <c r="A1148" s="19" t="str">
        <f>IFERROR(__xludf.DUMMYFUNCTION("""COMPUTED_VALUE"""),"AB_8174")</f>
        <v>AB_8174</v>
      </c>
      <c r="B1148" s="19" t="str">
        <f>IFERROR(__xludf.DUMMYFUNCTION("""COMPUTED_VALUE"""),"AB_8174_A")</f>
        <v>AB_8174_A</v>
      </c>
      <c r="C1148" s="19" t="str">
        <f>IFERROR(__xludf.DUMMYFUNCTION("""COMPUTED_VALUE"""),"BI8174")</f>
        <v>BI8174</v>
      </c>
      <c r="D1148" s="19" t="str">
        <f>IFERROR(__xludf.DUMMYFUNCTION("""COMPUTED_VALUE"""),"Trongol Alto Curanilahue")</f>
        <v>Trongol Alto Curanilahue</v>
      </c>
      <c r="E1148" s="19" t="str">
        <f>IFERROR(__xludf.DUMMYFUNCTION("""COMPUTED_VALUE"""),"SITIO RFI")</f>
        <v>SITIO RFI</v>
      </c>
      <c r="F1148" s="19"/>
      <c r="G1148" s="19" t="str">
        <f>IFERROR(__xludf.DUMMYFUNCTION("""COMPUTED_VALUE"""),"x")</f>
        <v>x</v>
      </c>
      <c r="H1148" s="19" t="str">
        <f>IFERROR(__xludf.DUMMYFUNCTION("""COMPUTED_VALUE"""),"x")</f>
        <v>x</v>
      </c>
      <c r="I1148" s="19" t="str">
        <f>IFERROR(__xludf.DUMMYFUNCTION("""COMPUTED_VALUE"""),"x")</f>
        <v>x</v>
      </c>
      <c r="J1148" s="20" t="str">
        <f>IFERROR(__xludf.DUMMYFUNCTION("""COMPUTED_VALUE"""),"x")</f>
        <v>x</v>
      </c>
      <c r="K1148" s="19" t="str">
        <f>IFERROR(__xludf.DUMMYFUNCTION("""COMPUTED_VALUE"""),"x")</f>
        <v>x</v>
      </c>
      <c r="L1148" s="20" t="str">
        <f>IFERROR(__xludf.DUMMYFUNCTION("""COMPUTED_VALUE"""),"x")</f>
        <v>x</v>
      </c>
      <c r="M1148" s="19" t="str">
        <f>IFERROR(__xludf.DUMMYFUNCTION("""COMPUTED_VALUE"""),"PCM")</f>
        <v>PCM</v>
      </c>
      <c r="N1148" s="19" t="str">
        <f>IFERROR(__xludf.DUMMYFUNCTION("""COMPUTED_VALUE"""),"PRIORIDAD 1 Q3 2023 OCTUBRE")</f>
        <v>PRIORIDAD 1 Q3 2023 OCTUBRE</v>
      </c>
    </row>
    <row r="1149" ht="15.75" customHeight="1">
      <c r="A1149" s="19" t="str">
        <f>IFERROR(__xludf.DUMMYFUNCTION("""COMPUTED_VALUE"""),"AB_8179")</f>
        <v>AB_8179</v>
      </c>
      <c r="B1149" s="19" t="str">
        <f>IFERROR(__xludf.DUMMYFUNCTION("""COMPUTED_VALUE"""),"AB_8179_B")</f>
        <v>AB_8179_B</v>
      </c>
      <c r="C1149" s="19" t="str">
        <f>IFERROR(__xludf.DUMMYFUNCTION("""COMPUTED_VALUE"""),"BI8179")</f>
        <v>BI8179</v>
      </c>
      <c r="D1149" s="19" t="str">
        <f>IFERROR(__xludf.DUMMYFUNCTION("""COMPUTED_VALUE"""),"Ruta Q-292")</f>
        <v>Ruta Q-292</v>
      </c>
      <c r="E1149" s="19" t="str">
        <f>IFERROR(__xludf.DUMMYFUNCTION("""COMPUTED_VALUE"""),"SITIO ASIGNADO")</f>
        <v>SITIO ASIGNADO</v>
      </c>
      <c r="F1149" s="19"/>
      <c r="G1149" s="19" t="str">
        <f>IFERROR(__xludf.DUMMYFUNCTION("""COMPUTED_VALUE"""),"x")</f>
        <v>x</v>
      </c>
      <c r="H1149" s="19" t="str">
        <f>IFERROR(__xludf.DUMMYFUNCTION("""COMPUTED_VALUE"""),"x")</f>
        <v>x</v>
      </c>
      <c r="I1149" s="19" t="str">
        <f>IFERROR(__xludf.DUMMYFUNCTION("""COMPUTED_VALUE"""),"x")</f>
        <v>x</v>
      </c>
      <c r="J1149" s="20" t="str">
        <f>IFERROR(__xludf.DUMMYFUNCTION("""COMPUTED_VALUE"""),"x")</f>
        <v>x</v>
      </c>
      <c r="K1149" s="19" t="str">
        <f>IFERROR(__xludf.DUMMYFUNCTION("""COMPUTED_VALUE"""),"x")</f>
        <v>x</v>
      </c>
      <c r="L1149" s="20" t="str">
        <f>IFERROR(__xludf.DUMMYFUNCTION("""COMPUTED_VALUE"""),"x")</f>
        <v>x</v>
      </c>
      <c r="M1149" s="19" t="str">
        <f>IFERROR(__xludf.DUMMYFUNCTION("""COMPUTED_VALUE"""),"PP")</f>
        <v>PP</v>
      </c>
      <c r="N1149" s="19" t="str">
        <f>IFERROR(__xludf.DUMMYFUNCTION("""COMPUTED_VALUE"""),"PRIORIDAD 1 Q3 2023 OCTUBRE")</f>
        <v>PRIORIDAD 1 Q3 2023 OCTUBRE</v>
      </c>
    </row>
    <row r="1150" ht="15.75" customHeight="1">
      <c r="A1150" s="19" t="str">
        <f>IFERROR(__xludf.DUMMYFUNCTION("""COMPUTED_VALUE"""),"AB_8185")</f>
        <v>AB_8185</v>
      </c>
      <c r="B1150" s="19" t="str">
        <f>IFERROR(__xludf.DUMMYFUNCTION("""COMPUTED_VALUE"""),"AB_8185_A")</f>
        <v>AB_8185_A</v>
      </c>
      <c r="C1150" s="19" t="str">
        <f>IFERROR(__xludf.DUMMYFUNCTION("""COMPUTED_VALUE"""),"BI8185")</f>
        <v>BI8185</v>
      </c>
      <c r="D1150" s="19" t="str">
        <f>IFERROR(__xludf.DUMMYFUNCTION("""COMPUTED_VALUE"""),"Antuco Cerro")</f>
        <v>Antuco Cerro</v>
      </c>
      <c r="E1150" s="19" t="str">
        <f>IFERROR(__xludf.DUMMYFUNCTION("""COMPUTED_VALUE"""),"SITIO ASIGNADO")</f>
        <v>SITIO ASIGNADO</v>
      </c>
      <c r="F1150" s="19"/>
      <c r="G1150" s="19" t="str">
        <f>IFERROR(__xludf.DUMMYFUNCTION("""COMPUTED_VALUE"""),"x")</f>
        <v>x</v>
      </c>
      <c r="H1150" s="19" t="str">
        <f>IFERROR(__xludf.DUMMYFUNCTION("""COMPUTED_VALUE"""),"x")</f>
        <v>x</v>
      </c>
      <c r="I1150" s="19" t="str">
        <f>IFERROR(__xludf.DUMMYFUNCTION("""COMPUTED_VALUE"""),"x")</f>
        <v>x</v>
      </c>
      <c r="J1150" s="20" t="str">
        <f>IFERROR(__xludf.DUMMYFUNCTION("""COMPUTED_VALUE"""),"x")</f>
        <v>x</v>
      </c>
      <c r="K1150" s="19" t="str">
        <f>IFERROR(__xludf.DUMMYFUNCTION("""COMPUTED_VALUE"""),"x")</f>
        <v>x</v>
      </c>
      <c r="L1150" s="20" t="str">
        <f>IFERROR(__xludf.DUMMYFUNCTION("""COMPUTED_VALUE"""),"x")</f>
        <v>x</v>
      </c>
      <c r="M1150" s="19" t="str">
        <f>IFERROR(__xludf.DUMMYFUNCTION("""COMPUTED_VALUE"""),"PCM")</f>
        <v>PCM</v>
      </c>
      <c r="N1150" s="19" t="str">
        <f>IFERROR(__xludf.DUMMYFUNCTION("""COMPUTED_VALUE"""),"PRIORIDAD 1 Q3 2023 OCTUBRE")</f>
        <v>PRIORIDAD 1 Q3 2023 OCTUBRE</v>
      </c>
    </row>
    <row r="1151" ht="15.75" customHeight="1">
      <c r="A1151" s="19" t="str">
        <f>IFERROR(__xludf.DUMMYFUNCTION("""COMPUTED_VALUE"""),"AB_8205")</f>
        <v>AB_8205</v>
      </c>
      <c r="B1151" s="19" t="str">
        <f>IFERROR(__xludf.DUMMYFUNCTION("""COMPUTED_VALUE"""),"AB_8205_B")</f>
        <v>AB_8205_B</v>
      </c>
      <c r="C1151" s="19" t="str">
        <f>IFERROR(__xludf.DUMMYFUNCTION("""COMPUTED_VALUE"""),"BI8205")</f>
        <v>BI8205</v>
      </c>
      <c r="D1151" s="19" t="str">
        <f>IFERROR(__xludf.DUMMYFUNCTION("""COMPUTED_VALUE"""),"Pino Huacho")</f>
        <v>Pino Huacho</v>
      </c>
      <c r="E1151" s="19" t="str">
        <f>IFERROR(__xludf.DUMMYFUNCTION("""COMPUTED_VALUE"""),"SITIO RFI")</f>
        <v>SITIO RFI</v>
      </c>
      <c r="F1151" s="19"/>
      <c r="G1151" s="19" t="str">
        <f>IFERROR(__xludf.DUMMYFUNCTION("""COMPUTED_VALUE"""),"x")</f>
        <v>x</v>
      </c>
      <c r="H1151" s="19" t="str">
        <f>IFERROR(__xludf.DUMMYFUNCTION("""COMPUTED_VALUE"""),"x")</f>
        <v>x</v>
      </c>
      <c r="I1151" s="19" t="str">
        <f>IFERROR(__xludf.DUMMYFUNCTION("""COMPUTED_VALUE"""),"x")</f>
        <v>x</v>
      </c>
      <c r="J1151" s="20" t="str">
        <f>IFERROR(__xludf.DUMMYFUNCTION("""COMPUTED_VALUE"""),"x")</f>
        <v>x</v>
      </c>
      <c r="K1151" s="19" t="str">
        <f>IFERROR(__xludf.DUMMYFUNCTION("""COMPUTED_VALUE"""),"x")</f>
        <v>x</v>
      </c>
      <c r="L1151" s="20" t="str">
        <f>IFERROR(__xludf.DUMMYFUNCTION("""COMPUTED_VALUE"""),"x")</f>
        <v>x</v>
      </c>
      <c r="M1151" s="19" t="str">
        <f>IFERROR(__xludf.DUMMYFUNCTION("""COMPUTED_VALUE"""),"PCM")</f>
        <v>PCM</v>
      </c>
      <c r="N1151" s="19" t="str">
        <f>IFERROR(__xludf.DUMMYFUNCTION("""COMPUTED_VALUE"""),"PRIORIDAD 1 Q3 2023 OCTUBRE")</f>
        <v>PRIORIDAD 1 Q3 2023 OCTUBRE</v>
      </c>
    </row>
    <row r="1152" ht="15.75" customHeight="1">
      <c r="A1152" s="19" t="str">
        <f>IFERROR(__xludf.DUMMYFUNCTION("""COMPUTED_VALUE"""),"AB_8304")</f>
        <v>AB_8304</v>
      </c>
      <c r="B1152" s="19" t="str">
        <f>IFERROR(__xludf.DUMMYFUNCTION("""COMPUTED_VALUE"""),"AB_8304_B")</f>
        <v>AB_8304_B</v>
      </c>
      <c r="C1152" s="19" t="str">
        <f>IFERROR(__xludf.DUMMYFUNCTION("""COMPUTED_VALUE"""),"BI8304")</f>
        <v>BI8304</v>
      </c>
      <c r="D1152" s="19" t="str">
        <f>IFERROR(__xludf.DUMMYFUNCTION("""COMPUTED_VALUE"""),"Rafael Essbio RU1")</f>
        <v>Rafael Essbio RU1</v>
      </c>
      <c r="E1152" s="19" t="str">
        <f>IFERROR(__xludf.DUMMYFUNCTION("""COMPUTED_VALUE"""),"SITIO RFI")</f>
        <v>SITIO RFI</v>
      </c>
      <c r="F1152" s="19"/>
      <c r="G1152" s="19" t="str">
        <f>IFERROR(__xludf.DUMMYFUNCTION("""COMPUTED_VALUE"""),"x")</f>
        <v>x</v>
      </c>
      <c r="H1152" s="19" t="str">
        <f>IFERROR(__xludf.DUMMYFUNCTION("""COMPUTED_VALUE"""),"x")</f>
        <v>x</v>
      </c>
      <c r="I1152" s="19" t="str">
        <f>IFERROR(__xludf.DUMMYFUNCTION("""COMPUTED_VALUE"""),"x")</f>
        <v>x</v>
      </c>
      <c r="J1152" s="20" t="str">
        <f>IFERROR(__xludf.DUMMYFUNCTION("""COMPUTED_VALUE"""),"x")</f>
        <v>x</v>
      </c>
      <c r="K1152" s="19" t="str">
        <f>IFERROR(__xludf.DUMMYFUNCTION("""COMPUTED_VALUE"""),"x")</f>
        <v>x</v>
      </c>
      <c r="L1152" s="20" t="str">
        <f>IFERROR(__xludf.DUMMYFUNCTION("""COMPUTED_VALUE"""),"x")</f>
        <v>x</v>
      </c>
      <c r="M1152" s="19" t="str">
        <f>IFERROR(__xludf.DUMMYFUNCTION("""COMPUTED_VALUE"""),"PCM_4")</f>
        <v>PCM_4</v>
      </c>
      <c r="N1152" s="19" t="str">
        <f>IFERROR(__xludf.DUMMYFUNCTION("""COMPUTED_VALUE"""),"PRIORIDAD 3 Q1 2024 MARZO")</f>
        <v>PRIORIDAD 3 Q1 2024 MARZO</v>
      </c>
    </row>
    <row r="1153" ht="15.75" customHeight="1">
      <c r="A1153" s="19" t="str">
        <f>IFERROR(__xludf.DUMMYFUNCTION("""COMPUTED_VALUE"""),"AB_9053")</f>
        <v>AB_9053</v>
      </c>
      <c r="B1153" s="19" t="str">
        <f>IFERROR(__xludf.DUMMYFUNCTION("""COMPUTED_VALUE"""),"AB_9053_A")</f>
        <v>AB_9053_A</v>
      </c>
      <c r="C1153" s="19" t="str">
        <f>IFERROR(__xludf.DUMMYFUNCTION("""COMPUTED_VALUE"""),"BI9053")</f>
        <v>BI9053</v>
      </c>
      <c r="D1153" s="19" t="str">
        <f>IFERROR(__xludf.DUMMYFUNCTION("""COMPUTED_VALUE"""),"Ruta Itata Penco")</f>
        <v>Ruta Itata Penco</v>
      </c>
      <c r="E1153" s="19" t="str">
        <f>IFERROR(__xludf.DUMMYFUNCTION("""COMPUTED_VALUE"""),"SITIO RFI")</f>
        <v>SITIO RFI</v>
      </c>
      <c r="F1153" s="19"/>
      <c r="G1153" s="19" t="str">
        <f>IFERROR(__xludf.DUMMYFUNCTION("""COMPUTED_VALUE"""),"x")</f>
        <v>x</v>
      </c>
      <c r="H1153" s="19" t="str">
        <f>IFERROR(__xludf.DUMMYFUNCTION("""COMPUTED_VALUE"""),"x")</f>
        <v>x</v>
      </c>
      <c r="I1153" s="19" t="str">
        <f>IFERROR(__xludf.DUMMYFUNCTION("""COMPUTED_VALUE"""),"x")</f>
        <v>x</v>
      </c>
      <c r="J1153" s="20" t="str">
        <f>IFERROR(__xludf.DUMMYFUNCTION("""COMPUTED_VALUE"""),"x")</f>
        <v>x</v>
      </c>
      <c r="K1153" s="19" t="str">
        <f>IFERROR(__xludf.DUMMYFUNCTION("""COMPUTED_VALUE"""),"x")</f>
        <v>x</v>
      </c>
      <c r="L1153" s="20" t="str">
        <f>IFERROR(__xludf.DUMMYFUNCTION("""COMPUTED_VALUE"""),"x")</f>
        <v>x</v>
      </c>
      <c r="M1153" s="19" t="str">
        <f>IFERROR(__xludf.DUMMYFUNCTION("""COMPUTED_VALUE"""),"PCM")</f>
        <v>PCM</v>
      </c>
      <c r="N1153" s="19" t="str">
        <f>IFERROR(__xludf.DUMMYFUNCTION("""COMPUTED_VALUE"""),"PRIORIDAD 1 Q3 2023 OCTUBRE")</f>
        <v>PRIORIDAD 1 Q3 2023 OCTUBRE</v>
      </c>
    </row>
    <row r="1154" ht="15.75" customHeight="1">
      <c r="A1154" s="19" t="str">
        <f>IFERROR(__xludf.DUMMYFUNCTION("""COMPUTED_VALUE"""),"AB_9415")</f>
        <v>AB_9415</v>
      </c>
      <c r="B1154" s="19" t="str">
        <f>IFERROR(__xludf.DUMMYFUNCTION("""COMPUTED_VALUE"""),"AB_9415_A")</f>
        <v>AB_9415_A</v>
      </c>
      <c r="C1154" s="19" t="str">
        <f>IFERROR(__xludf.DUMMYFUNCTION("""COMPUTED_VALUE"""),"BI9415")</f>
        <v>BI9415</v>
      </c>
      <c r="D1154" s="19" t="str">
        <f>IFERROR(__xludf.DUMMYFUNCTION("""COMPUTED_VALUE"""),"Ruta 156 Cruce O-868")</f>
        <v>Ruta 156 Cruce O-868</v>
      </c>
      <c r="E1154" s="19" t="str">
        <f>IFERROR(__xludf.DUMMYFUNCTION("""COMPUTED_VALUE"""),"SITIO RFI")</f>
        <v>SITIO RFI</v>
      </c>
      <c r="F1154" s="19"/>
      <c r="G1154" s="19" t="str">
        <f>IFERROR(__xludf.DUMMYFUNCTION("""COMPUTED_VALUE"""),"x")</f>
        <v>x</v>
      </c>
      <c r="H1154" s="19" t="str">
        <f>IFERROR(__xludf.DUMMYFUNCTION("""COMPUTED_VALUE"""),"x")</f>
        <v>x</v>
      </c>
      <c r="I1154" s="19" t="str">
        <f>IFERROR(__xludf.DUMMYFUNCTION("""COMPUTED_VALUE"""),"x")</f>
        <v>x</v>
      </c>
      <c r="J1154" s="20" t="str">
        <f>IFERROR(__xludf.DUMMYFUNCTION("""COMPUTED_VALUE"""),"x")</f>
        <v>x</v>
      </c>
      <c r="K1154" s="19" t="str">
        <f>IFERROR(__xludf.DUMMYFUNCTION("""COMPUTED_VALUE"""),"x")</f>
        <v>x</v>
      </c>
      <c r="L1154" s="20" t="str">
        <f>IFERROR(__xludf.DUMMYFUNCTION("""COMPUTED_VALUE"""),"x")</f>
        <v>x</v>
      </c>
      <c r="M1154" s="19" t="str">
        <f>IFERROR(__xludf.DUMMYFUNCTION("""COMPUTED_VALUE"""),"PP")</f>
        <v>PP</v>
      </c>
      <c r="N1154" s="19" t="str">
        <f>IFERROR(__xludf.DUMMYFUNCTION("""COMPUTED_VALUE"""),"PRIORIDAD 1 Q3 2023 OCTUBRE")</f>
        <v>PRIORIDAD 1 Q3 2023 OCTUBRE</v>
      </c>
    </row>
    <row r="1155" ht="15.75" customHeight="1">
      <c r="A1155" s="19" t="str">
        <f>IFERROR(__xludf.DUMMYFUNCTION("""COMPUTED_VALUE"""),"AB_9418")</f>
        <v>AB_9418</v>
      </c>
      <c r="B1155" s="19" t="str">
        <f>IFERROR(__xludf.DUMMYFUNCTION("""COMPUTED_VALUE"""),"AB_9418_B")</f>
        <v>AB_9418_B</v>
      </c>
      <c r="C1155" s="19" t="str">
        <f>IFERROR(__xludf.DUMMYFUNCTION("""COMPUTED_VALUE"""),"BI9418")</f>
        <v>BI9418</v>
      </c>
      <c r="D1155" s="19" t="str">
        <f>IFERROR(__xludf.DUMMYFUNCTION("""COMPUTED_VALUE"""),"Ruta Q-50 Enlace Yumbel")</f>
        <v>Ruta Q-50 Enlace Yumbel</v>
      </c>
      <c r="E1155" s="19" t="str">
        <f>IFERROR(__xludf.DUMMYFUNCTION("""COMPUTED_VALUE"""),"SITIO ASIGNADO")</f>
        <v>SITIO ASIGNADO</v>
      </c>
      <c r="F1155" s="19"/>
      <c r="G1155" s="19" t="str">
        <f>IFERROR(__xludf.DUMMYFUNCTION("""COMPUTED_VALUE"""),"x")</f>
        <v>x</v>
      </c>
      <c r="H1155" s="19" t="str">
        <f>IFERROR(__xludf.DUMMYFUNCTION("""COMPUTED_VALUE"""),"x")</f>
        <v>x</v>
      </c>
      <c r="I1155" s="19" t="str">
        <f>IFERROR(__xludf.DUMMYFUNCTION("""COMPUTED_VALUE"""),"x")</f>
        <v>x</v>
      </c>
      <c r="J1155" s="20" t="str">
        <f>IFERROR(__xludf.DUMMYFUNCTION("""COMPUTED_VALUE"""),"x")</f>
        <v>x</v>
      </c>
      <c r="K1155" s="19" t="str">
        <f>IFERROR(__xludf.DUMMYFUNCTION("""COMPUTED_VALUE"""),"x")</f>
        <v>x</v>
      </c>
      <c r="L1155" s="20" t="str">
        <f>IFERROR(__xludf.DUMMYFUNCTION("""COMPUTED_VALUE"""),"x")</f>
        <v>x</v>
      </c>
      <c r="M1155" s="19" t="str">
        <f>IFERROR(__xludf.DUMMYFUNCTION("""COMPUTED_VALUE"""),"PP")</f>
        <v>PP</v>
      </c>
      <c r="N1155" s="19" t="str">
        <f>IFERROR(__xludf.DUMMYFUNCTION("""COMPUTED_VALUE"""),"PRIORIDAD 1 Q3 2023 OCTUBRE")</f>
        <v>PRIORIDAD 1 Q3 2023 OCTUBRE</v>
      </c>
    </row>
    <row r="1156" ht="15.75" customHeight="1">
      <c r="A1156" s="19" t="str">
        <f>IFERROR(__xludf.DUMMYFUNCTION("""COMPUTED_VALUE"""),"AB_9420")</f>
        <v>AB_9420</v>
      </c>
      <c r="B1156" s="19" t="str">
        <f>IFERROR(__xludf.DUMMYFUNCTION("""COMPUTED_VALUE"""),"AB_9420_A")</f>
        <v>AB_9420_A</v>
      </c>
      <c r="C1156" s="19" t="str">
        <f>IFERROR(__xludf.DUMMYFUNCTION("""COMPUTED_VALUE"""),"BI9420")</f>
        <v>BI9420</v>
      </c>
      <c r="D1156" s="19" t="str">
        <f>IFERROR(__xludf.DUMMYFUNCTION("""COMPUTED_VALUE"""),"Ruta 5 Villa Esperanza")</f>
        <v>Ruta 5 Villa Esperanza</v>
      </c>
      <c r="E1156" s="19" t="str">
        <f>IFERROR(__xludf.DUMMYFUNCTION("""COMPUTED_VALUE"""),"SITIO RFI")</f>
        <v>SITIO RFI</v>
      </c>
      <c r="F1156" s="19"/>
      <c r="G1156" s="19" t="str">
        <f>IFERROR(__xludf.DUMMYFUNCTION("""COMPUTED_VALUE"""),"x")</f>
        <v>x</v>
      </c>
      <c r="H1156" s="19" t="str">
        <f>IFERROR(__xludf.DUMMYFUNCTION("""COMPUTED_VALUE"""),"x")</f>
        <v>x</v>
      </c>
      <c r="I1156" s="19" t="str">
        <f>IFERROR(__xludf.DUMMYFUNCTION("""COMPUTED_VALUE"""),"x")</f>
        <v>x</v>
      </c>
      <c r="J1156" s="20" t="str">
        <f>IFERROR(__xludf.DUMMYFUNCTION("""COMPUTED_VALUE"""),"x")</f>
        <v>x</v>
      </c>
      <c r="K1156" s="19" t="str">
        <f>IFERROR(__xludf.DUMMYFUNCTION("""COMPUTED_VALUE"""),"x")</f>
        <v>x</v>
      </c>
      <c r="L1156" s="20" t="str">
        <f>IFERROR(__xludf.DUMMYFUNCTION("""COMPUTED_VALUE"""),"x")</f>
        <v>x</v>
      </c>
      <c r="M1156" s="19" t="str">
        <f>IFERROR(__xludf.DUMMYFUNCTION("""COMPUTED_VALUE"""),"PCM")</f>
        <v>PCM</v>
      </c>
      <c r="N1156" s="19" t="str">
        <f>IFERROR(__xludf.DUMMYFUNCTION("""COMPUTED_VALUE"""),"PRIORIDAD 1 Q3 2023 OCTUBRE")</f>
        <v>PRIORIDAD 1 Q3 2023 OCTUBRE</v>
      </c>
    </row>
    <row r="1157" ht="15.75" customHeight="1">
      <c r="A1157" s="19" t="str">
        <f>IFERROR(__xludf.DUMMYFUNCTION("""COMPUTED_VALUE"""),"AB_9594")</f>
        <v>AB_9594</v>
      </c>
      <c r="B1157" s="19" t="str">
        <f>IFERROR(__xludf.DUMMYFUNCTION("""COMPUTED_VALUE"""),"AB_9594_A")</f>
        <v>AB_9594_A</v>
      </c>
      <c r="C1157" s="19" t="str">
        <f>IFERROR(__xludf.DUMMYFUNCTION("""COMPUTED_VALUE"""),"BI9594")</f>
        <v>BI9594</v>
      </c>
      <c r="D1157" s="19" t="str">
        <f>IFERROR(__xludf.DUMMYFUNCTION("""COMPUTED_VALUE"""),"Mitrinhue Coronel")</f>
        <v>Mitrinhue Coronel</v>
      </c>
      <c r="E1157" s="19" t="str">
        <f>IFERROR(__xludf.DUMMYFUNCTION("""COMPUTED_VALUE"""),"DETENIDO TORRERO")</f>
        <v>DETENIDO TORRERO</v>
      </c>
      <c r="F1157" s="19"/>
      <c r="G1157" s="19" t="str">
        <f>IFERROR(__xludf.DUMMYFUNCTION("""COMPUTED_VALUE"""),"x")</f>
        <v>x</v>
      </c>
      <c r="H1157" s="19" t="str">
        <f>IFERROR(__xludf.DUMMYFUNCTION("""COMPUTED_VALUE"""),"x")</f>
        <v>x</v>
      </c>
      <c r="I1157" s="19" t="str">
        <f>IFERROR(__xludf.DUMMYFUNCTION("""COMPUTED_VALUE"""),"x")</f>
        <v>x</v>
      </c>
      <c r="J1157" s="20" t="str">
        <f>IFERROR(__xludf.DUMMYFUNCTION("""COMPUTED_VALUE"""),"x")</f>
        <v>x</v>
      </c>
      <c r="K1157" s="19" t="str">
        <f>IFERROR(__xludf.DUMMYFUNCTION("""COMPUTED_VALUE"""),"x")</f>
        <v>x</v>
      </c>
      <c r="L1157" s="20" t="str">
        <f>IFERROR(__xludf.DUMMYFUNCTION("""COMPUTED_VALUE"""),"x")</f>
        <v>x</v>
      </c>
      <c r="M1157" s="19" t="str">
        <f>IFERROR(__xludf.DUMMYFUNCTION("""COMPUTED_VALUE"""),"PP")</f>
        <v>PP</v>
      </c>
      <c r="N1157" s="19" t="str">
        <f>IFERROR(__xludf.DUMMYFUNCTION("""COMPUTED_VALUE"""),"PRIORIDAD 1 Q3 2023 OCTUBRE")</f>
        <v>PRIORIDAD 1 Q3 2023 OCTUBRE</v>
      </c>
    </row>
    <row r="1158" ht="15.75" customHeight="1">
      <c r="A1158" s="19" t="str">
        <f>IFERROR(__xludf.DUMMYFUNCTION("""COMPUTED_VALUE"""),"AB_9597")</f>
        <v>AB_9597</v>
      </c>
      <c r="B1158" s="19" t="str">
        <f>IFERROR(__xludf.DUMMYFUNCTION("""COMPUTED_VALUE"""),"AB_9597_A")</f>
        <v>AB_9597_A</v>
      </c>
      <c r="C1158" s="19" t="str">
        <f>IFERROR(__xludf.DUMMYFUNCTION("""COMPUTED_VALUE"""),"BI9597")</f>
        <v>BI9597</v>
      </c>
      <c r="D1158" s="19" t="str">
        <f>IFERROR(__xludf.DUMMYFUNCTION("""COMPUTED_VALUE"""),"Tomeco Yumbel")</f>
        <v>Tomeco Yumbel</v>
      </c>
      <c r="E1158" s="19" t="str">
        <f>IFERROR(__xludf.DUMMYFUNCTION("""COMPUTED_VALUE"""),"SITIO ASIGNADO")</f>
        <v>SITIO ASIGNADO</v>
      </c>
      <c r="F1158" s="19"/>
      <c r="G1158" s="19" t="str">
        <f>IFERROR(__xludf.DUMMYFUNCTION("""COMPUTED_VALUE"""),"x")</f>
        <v>x</v>
      </c>
      <c r="H1158" s="19" t="str">
        <f>IFERROR(__xludf.DUMMYFUNCTION("""COMPUTED_VALUE"""),"x")</f>
        <v>x</v>
      </c>
      <c r="I1158" s="19" t="str">
        <f>IFERROR(__xludf.DUMMYFUNCTION("""COMPUTED_VALUE"""),"x")</f>
        <v>x</v>
      </c>
      <c r="J1158" s="20" t="str">
        <f>IFERROR(__xludf.DUMMYFUNCTION("""COMPUTED_VALUE"""),"x")</f>
        <v>x</v>
      </c>
      <c r="K1158" s="19" t="str">
        <f>IFERROR(__xludf.DUMMYFUNCTION("""COMPUTED_VALUE"""),"x")</f>
        <v>x</v>
      </c>
      <c r="L1158" s="20" t="str">
        <f>IFERROR(__xludf.DUMMYFUNCTION("""COMPUTED_VALUE"""),"x")</f>
        <v>x</v>
      </c>
      <c r="M1158" s="19" t="str">
        <f>IFERROR(__xludf.DUMMYFUNCTION("""COMPUTED_VALUE"""),"PP")</f>
        <v>PP</v>
      </c>
      <c r="N1158" s="19" t="str">
        <f>IFERROR(__xludf.DUMMYFUNCTION("""COMPUTED_VALUE"""),"PRIORIDAD 1 Q3 2023 OCTUBRE")</f>
        <v>PRIORIDAD 1 Q3 2023 OCTUBRE</v>
      </c>
    </row>
    <row r="1159" ht="15.75" customHeight="1">
      <c r="A1159" s="19" t="str">
        <f>IFERROR(__xludf.DUMMYFUNCTION("""COMPUTED_VALUE"""),"AB_9661")</f>
        <v>AB_9661</v>
      </c>
      <c r="B1159" s="19" t="str">
        <f>IFERROR(__xludf.DUMMYFUNCTION("""COMPUTED_VALUE"""),"AB_9661_A")</f>
        <v>AB_9661_A</v>
      </c>
      <c r="C1159" s="19" t="str">
        <f>IFERROR(__xludf.DUMMYFUNCTION("""COMPUTED_VALUE"""),"BI9661")</f>
        <v>BI9661</v>
      </c>
      <c r="D1159" s="19" t="str">
        <f>IFERROR(__xludf.DUMMYFUNCTION("""COMPUTED_VALUE"""),"Sara de Lebu Poniente")</f>
        <v>Sara de Lebu Poniente</v>
      </c>
      <c r="E1159" s="19" t="str">
        <f>IFERROR(__xludf.DUMMYFUNCTION("""COMPUTED_VALUE"""),"SITIO RFI")</f>
        <v>SITIO RFI</v>
      </c>
      <c r="F1159" s="19"/>
      <c r="G1159" s="19" t="str">
        <f>IFERROR(__xludf.DUMMYFUNCTION("""COMPUTED_VALUE"""),"x")</f>
        <v>x</v>
      </c>
      <c r="H1159" s="19" t="str">
        <f>IFERROR(__xludf.DUMMYFUNCTION("""COMPUTED_VALUE"""),"x")</f>
        <v>x</v>
      </c>
      <c r="I1159" s="19" t="str">
        <f>IFERROR(__xludf.DUMMYFUNCTION("""COMPUTED_VALUE"""),"x")</f>
        <v>x</v>
      </c>
      <c r="J1159" s="20" t="str">
        <f>IFERROR(__xludf.DUMMYFUNCTION("""COMPUTED_VALUE"""),"x")</f>
        <v>x</v>
      </c>
      <c r="K1159" s="19" t="str">
        <f>IFERROR(__xludf.DUMMYFUNCTION("""COMPUTED_VALUE"""),"x")</f>
        <v>x</v>
      </c>
      <c r="L1159" s="20" t="str">
        <f>IFERROR(__xludf.DUMMYFUNCTION("""COMPUTED_VALUE"""),"x")</f>
        <v>x</v>
      </c>
      <c r="M1159" s="19" t="str">
        <f>IFERROR(__xludf.DUMMYFUNCTION("""COMPUTED_VALUE"""),"PCM")</f>
        <v>PCM</v>
      </c>
      <c r="N1159" s="19" t="str">
        <f>IFERROR(__xludf.DUMMYFUNCTION("""COMPUTED_VALUE"""),"PRIORIDAD 1 Q3 2023 OCTUBRE")</f>
        <v>PRIORIDAD 1 Q3 2023 OCTUBRE</v>
      </c>
    </row>
    <row r="1160" ht="15.75" customHeight="1">
      <c r="A1160" s="19" t="str">
        <f>IFERROR(__xludf.DUMMYFUNCTION("""COMPUTED_VALUE"""),"AB_7581")</f>
        <v>AB_7581</v>
      </c>
      <c r="B1160" s="19" t="str">
        <f>IFERROR(__xludf.DUMMYFUNCTION("""COMPUTED_VALUE"""),"AB_7581_J")</f>
        <v>AB_7581_J</v>
      </c>
      <c r="C1160" s="19" t="str">
        <f>IFERROR(__xludf.DUMMYFUNCTION("""COMPUTED_VALUE"""),"CM7581")</f>
        <v>CM7581</v>
      </c>
      <c r="D1160" s="19" t="str">
        <f>IFERROR(__xludf.DUMMYFUNCTION("""COMPUTED_VALUE"""),"Lomas Coloradas RU")</f>
        <v>Lomas Coloradas RU</v>
      </c>
      <c r="E1160" s="19" t="str">
        <f>IFERROR(__xludf.DUMMYFUNCTION("""COMPUTED_VALUE"""),"SITIO RFI")</f>
        <v>SITIO RFI</v>
      </c>
      <c r="F1160" s="19"/>
      <c r="G1160" s="19" t="str">
        <f>IFERROR(__xludf.DUMMYFUNCTION("""COMPUTED_VALUE"""),"x")</f>
        <v>x</v>
      </c>
      <c r="H1160" s="19" t="str">
        <f>IFERROR(__xludf.DUMMYFUNCTION("""COMPUTED_VALUE"""),"x")</f>
        <v>x</v>
      </c>
      <c r="I1160" s="19" t="str">
        <f>IFERROR(__xludf.DUMMYFUNCTION("""COMPUTED_VALUE"""),"x")</f>
        <v>x</v>
      </c>
      <c r="J1160" s="20" t="str">
        <f>IFERROR(__xludf.DUMMYFUNCTION("""COMPUTED_VALUE"""),"x")</f>
        <v>x</v>
      </c>
      <c r="K1160" s="19" t="str">
        <f>IFERROR(__xludf.DUMMYFUNCTION("""COMPUTED_VALUE"""),"x")</f>
        <v>x</v>
      </c>
      <c r="L1160" s="20" t="str">
        <f>IFERROR(__xludf.DUMMYFUNCTION("""COMPUTED_VALUE"""),"x")</f>
        <v>x</v>
      </c>
      <c r="M1160" s="19" t="str">
        <f>IFERROR(__xludf.DUMMYFUNCTION("""COMPUTED_VALUE"""),"PCM")</f>
        <v>PCM</v>
      </c>
      <c r="N1160" s="19" t="str">
        <f>IFERROR(__xludf.DUMMYFUNCTION("""COMPUTED_VALUE"""),"PRIORIDAD 1 Q3 2023 OCTUBRE")</f>
        <v>PRIORIDAD 1 Q3 2023 OCTUBRE</v>
      </c>
    </row>
    <row r="1161" ht="15.75" customHeight="1">
      <c r="A1161" s="19" t="str">
        <f>IFERROR(__xludf.DUMMYFUNCTION("""COMPUTED_VALUE"""),"AB_10148")</f>
        <v>AB_10148</v>
      </c>
      <c r="B1161" s="19" t="str">
        <f>IFERROR(__xludf.DUMMYFUNCTION("""COMPUTED_VALUE"""),"AB_10148_C")</f>
        <v>AB_10148_C</v>
      </c>
      <c r="C1161" s="19" t="str">
        <f>IFERROR(__xludf.DUMMYFUNCTION("""COMPUTED_VALUE"""),"CO10148")</f>
        <v>CO10148</v>
      </c>
      <c r="D1161" s="19" t="str">
        <f>IFERROR(__xludf.DUMMYFUNCTION("""COMPUTED_VALUE"""),"Pisco Elqui Acceso Norte")</f>
        <v>Pisco Elqui Acceso Norte</v>
      </c>
      <c r="E1161" s="19" t="str">
        <f>IFERROR(__xludf.DUMMYFUNCTION("""COMPUTED_VALUE"""),"SITIO RFI")</f>
        <v>SITIO RFI</v>
      </c>
      <c r="F1161" s="19"/>
      <c r="G1161" s="19" t="str">
        <f>IFERROR(__xludf.DUMMYFUNCTION("""COMPUTED_VALUE"""),"x")</f>
        <v>x</v>
      </c>
      <c r="H1161" s="19" t="str">
        <f>IFERROR(__xludf.DUMMYFUNCTION("""COMPUTED_VALUE"""),"x")</f>
        <v>x</v>
      </c>
      <c r="I1161" s="19" t="str">
        <f>IFERROR(__xludf.DUMMYFUNCTION("""COMPUTED_VALUE"""),"x")</f>
        <v>x</v>
      </c>
      <c r="J1161" s="20" t="str">
        <f>IFERROR(__xludf.DUMMYFUNCTION("""COMPUTED_VALUE"""),"x")</f>
        <v>x</v>
      </c>
      <c r="K1161" s="19" t="str">
        <f>IFERROR(__xludf.DUMMYFUNCTION("""COMPUTED_VALUE"""),"x")</f>
        <v>x</v>
      </c>
      <c r="L1161" s="20" t="str">
        <f>IFERROR(__xludf.DUMMYFUNCTION("""COMPUTED_VALUE"""),"x")</f>
        <v>x</v>
      </c>
      <c r="M1161" s="19" t="str">
        <f>IFERROR(__xludf.DUMMYFUNCTION("""COMPUTED_VALUE"""),"PCM")</f>
        <v>PCM</v>
      </c>
      <c r="N1161" s="19" t="str">
        <f>IFERROR(__xludf.DUMMYFUNCTION("""COMPUTED_VALUE"""),"PRIORIDAD 1 Q3 2023 OCTUBRE")</f>
        <v>PRIORIDAD 1 Q3 2023 OCTUBRE</v>
      </c>
    </row>
    <row r="1162" ht="15.75" customHeight="1">
      <c r="A1162" s="19" t="str">
        <f>IFERROR(__xludf.DUMMYFUNCTION("""COMPUTED_VALUE"""),"AB_10159")</f>
        <v>AB_10159</v>
      </c>
      <c r="B1162" s="19" t="str">
        <f>IFERROR(__xludf.DUMMYFUNCTION("""COMPUTED_VALUE"""),"AB_10159_E")</f>
        <v>AB_10159_E</v>
      </c>
      <c r="C1162" s="19" t="str">
        <f>IFERROR(__xludf.DUMMYFUNCTION("""COMPUTED_VALUE"""),"CO10159")</f>
        <v>CO10159</v>
      </c>
      <c r="D1162" s="19" t="str">
        <f>IFERROR(__xludf.DUMMYFUNCTION("""COMPUTED_VALUE"""),"Coquimbo Puerto 5G")</f>
        <v>Coquimbo Puerto 5G</v>
      </c>
      <c r="E1162" s="19" t="str">
        <f>IFERROR(__xludf.DUMMYFUNCTION("""COMPUTED_VALUE"""),"SITIO RFI")</f>
        <v>SITIO RFI</v>
      </c>
      <c r="F1162" s="19"/>
      <c r="G1162" s="19" t="str">
        <f>IFERROR(__xludf.DUMMYFUNCTION("""COMPUTED_VALUE"""),"x")</f>
        <v>x</v>
      </c>
      <c r="H1162" s="19" t="str">
        <f>IFERROR(__xludf.DUMMYFUNCTION("""COMPUTED_VALUE"""),"x")</f>
        <v>x</v>
      </c>
      <c r="I1162" s="19" t="str">
        <f>IFERROR(__xludf.DUMMYFUNCTION("""COMPUTED_VALUE"""),"x")</f>
        <v>x</v>
      </c>
      <c r="J1162" s="20" t="str">
        <f>IFERROR(__xludf.DUMMYFUNCTION("""COMPUTED_VALUE"""),"x")</f>
        <v>x</v>
      </c>
      <c r="K1162" s="19" t="str">
        <f>IFERROR(__xludf.DUMMYFUNCTION("""COMPUTED_VALUE"""),"x")</f>
        <v>x</v>
      </c>
      <c r="L1162" s="20" t="str">
        <f>IFERROR(__xludf.DUMMYFUNCTION("""COMPUTED_VALUE"""),"x")</f>
        <v>x</v>
      </c>
      <c r="M1162" s="19" t="str">
        <f>IFERROR(__xludf.DUMMYFUNCTION("""COMPUTED_VALUE"""),"PCM")</f>
        <v>PCM</v>
      </c>
      <c r="N1162" s="19" t="str">
        <f>IFERROR(__xludf.DUMMYFUNCTION("""COMPUTED_VALUE"""),"PRIORIDAD 1 Q3 2023 OCTUBRE")</f>
        <v>PRIORIDAD 1 Q3 2023 OCTUBRE</v>
      </c>
    </row>
    <row r="1163" ht="15.75" customHeight="1">
      <c r="A1163" s="19" t="str">
        <f>IFERROR(__xludf.DUMMYFUNCTION("""COMPUTED_VALUE"""),"AB_10216")</f>
        <v>AB_10216</v>
      </c>
      <c r="B1163" s="19" t="str">
        <f>IFERROR(__xludf.DUMMYFUNCTION("""COMPUTED_VALUE"""),"AB_10216_A")</f>
        <v>AB_10216_A</v>
      </c>
      <c r="C1163" s="19" t="str">
        <f>IFERROR(__xludf.DUMMYFUNCTION("""COMPUTED_VALUE"""),"CO10216")</f>
        <v>CO10216</v>
      </c>
      <c r="D1163" s="19" t="str">
        <f>IFERROR(__xludf.DUMMYFUNCTION("""COMPUTED_VALUE"""),"Andacollo Oriente")</f>
        <v>Andacollo Oriente</v>
      </c>
      <c r="E1163" s="19" t="str">
        <f>IFERROR(__xludf.DUMMYFUNCTION("""COMPUTED_VALUE"""),"SITIO RFI")</f>
        <v>SITIO RFI</v>
      </c>
      <c r="F1163" s="19"/>
      <c r="G1163" s="19" t="str">
        <f>IFERROR(__xludf.DUMMYFUNCTION("""COMPUTED_VALUE"""),"x")</f>
        <v>x</v>
      </c>
      <c r="H1163" s="19" t="str">
        <f>IFERROR(__xludf.DUMMYFUNCTION("""COMPUTED_VALUE"""),"x")</f>
        <v>x</v>
      </c>
      <c r="I1163" s="19" t="str">
        <f>IFERROR(__xludf.DUMMYFUNCTION("""COMPUTED_VALUE"""),"x")</f>
        <v>x</v>
      </c>
      <c r="J1163" s="20" t="str">
        <f>IFERROR(__xludf.DUMMYFUNCTION("""COMPUTED_VALUE"""),"x")</f>
        <v>x</v>
      </c>
      <c r="K1163" s="19" t="str">
        <f>IFERROR(__xludf.DUMMYFUNCTION("""COMPUTED_VALUE"""),"x")</f>
        <v>x</v>
      </c>
      <c r="L1163" s="20" t="str">
        <f>IFERROR(__xludf.DUMMYFUNCTION("""COMPUTED_VALUE"""),"x")</f>
        <v>x</v>
      </c>
      <c r="M1163" s="19" t="str">
        <f>IFERROR(__xludf.DUMMYFUNCTION("""COMPUTED_VALUE"""),"PCM")</f>
        <v>PCM</v>
      </c>
      <c r="N1163" s="19" t="str">
        <f>IFERROR(__xludf.DUMMYFUNCTION("""COMPUTED_VALUE"""),"PRIORIDAD 1 Q3 2023 OCTUBRE")</f>
        <v>PRIORIDAD 1 Q3 2023 OCTUBRE</v>
      </c>
    </row>
    <row r="1164" ht="15.75" customHeight="1">
      <c r="A1164" s="19" t="str">
        <f>IFERROR(__xludf.DUMMYFUNCTION("""COMPUTED_VALUE"""),"AB_10253")</f>
        <v>AB_10253</v>
      </c>
      <c r="B1164" s="19" t="str">
        <f>IFERROR(__xludf.DUMMYFUNCTION("""COMPUTED_VALUE"""),"AB_10253_C")</f>
        <v>AB_10253_C</v>
      </c>
      <c r="C1164" s="19" t="str">
        <f>IFERROR(__xludf.DUMMYFUNCTION("""COMPUTED_VALUE"""),"CO10253")</f>
        <v>CO10253</v>
      </c>
      <c r="D1164" s="19" t="str">
        <f>IFERROR(__xludf.DUMMYFUNCTION("""COMPUTED_VALUE"""),"La Caldera Andacollo")</f>
        <v>La Caldera Andacollo</v>
      </c>
      <c r="E1164" s="19" t="str">
        <f>IFERROR(__xludf.DUMMYFUNCTION("""COMPUTED_VALUE"""),"SITIO RFI")</f>
        <v>SITIO RFI</v>
      </c>
      <c r="F1164" s="19"/>
      <c r="G1164" s="19" t="str">
        <f>IFERROR(__xludf.DUMMYFUNCTION("""COMPUTED_VALUE"""),"x")</f>
        <v>x</v>
      </c>
      <c r="H1164" s="19" t="str">
        <f>IFERROR(__xludf.DUMMYFUNCTION("""COMPUTED_VALUE"""),"x")</f>
        <v>x</v>
      </c>
      <c r="I1164" s="19" t="str">
        <f>IFERROR(__xludf.DUMMYFUNCTION("""COMPUTED_VALUE"""),"x")</f>
        <v>x</v>
      </c>
      <c r="J1164" s="20" t="str">
        <f>IFERROR(__xludf.DUMMYFUNCTION("""COMPUTED_VALUE"""),"x")</f>
        <v>x</v>
      </c>
      <c r="K1164" s="19" t="str">
        <f>IFERROR(__xludf.DUMMYFUNCTION("""COMPUTED_VALUE"""),"x")</f>
        <v>x</v>
      </c>
      <c r="L1164" s="20" t="str">
        <f>IFERROR(__xludf.DUMMYFUNCTION("""COMPUTED_VALUE"""),"x")</f>
        <v>x</v>
      </c>
      <c r="M1164" s="19" t="str">
        <f>IFERROR(__xludf.DUMMYFUNCTION("""COMPUTED_VALUE"""),"PCM")</f>
        <v>PCM</v>
      </c>
      <c r="N1164" s="19" t="str">
        <f>IFERROR(__xludf.DUMMYFUNCTION("""COMPUTED_VALUE"""),"PRIORIDAD 1 Q3 2023 OCTUBRE")</f>
        <v>PRIORIDAD 1 Q3 2023 OCTUBRE</v>
      </c>
    </row>
    <row r="1165" ht="15.75" customHeight="1">
      <c r="A1165" s="19" t="str">
        <f>IFERROR(__xludf.DUMMYFUNCTION("""COMPUTED_VALUE"""),"AB_10259")</f>
        <v>AB_10259</v>
      </c>
      <c r="B1165" s="19" t="str">
        <f>IFERROR(__xludf.DUMMYFUNCTION("""COMPUTED_VALUE"""),"AB_10259_C")</f>
        <v>AB_10259_C</v>
      </c>
      <c r="C1165" s="19" t="str">
        <f>IFERROR(__xludf.DUMMYFUNCTION("""COMPUTED_VALUE"""),"CO10259")</f>
        <v>CO10259</v>
      </c>
      <c r="D1165" s="19" t="str">
        <f>IFERROR(__xludf.DUMMYFUNCTION("""COMPUTED_VALUE"""),"Morros de Vicuña")</f>
        <v>Morros de Vicuña</v>
      </c>
      <c r="E1165" s="19" t="str">
        <f>IFERROR(__xludf.DUMMYFUNCTION("""COMPUTED_VALUE"""),"SITIO RFI")</f>
        <v>SITIO RFI</v>
      </c>
      <c r="F1165" s="19"/>
      <c r="G1165" s="19" t="str">
        <f>IFERROR(__xludf.DUMMYFUNCTION("""COMPUTED_VALUE"""),"x")</f>
        <v>x</v>
      </c>
      <c r="H1165" s="19" t="str">
        <f>IFERROR(__xludf.DUMMYFUNCTION("""COMPUTED_VALUE"""),"x")</f>
        <v>x</v>
      </c>
      <c r="I1165" s="19" t="str">
        <f>IFERROR(__xludf.DUMMYFUNCTION("""COMPUTED_VALUE"""),"x")</f>
        <v>x</v>
      </c>
      <c r="J1165" s="20" t="str">
        <f>IFERROR(__xludf.DUMMYFUNCTION("""COMPUTED_VALUE"""),"x")</f>
        <v>x</v>
      </c>
      <c r="K1165" s="19" t="str">
        <f>IFERROR(__xludf.DUMMYFUNCTION("""COMPUTED_VALUE"""),"x")</f>
        <v>x</v>
      </c>
      <c r="L1165" s="20" t="str">
        <f>IFERROR(__xludf.DUMMYFUNCTION("""COMPUTED_VALUE"""),"x")</f>
        <v>x</v>
      </c>
      <c r="M1165" s="19" t="str">
        <f>IFERROR(__xludf.DUMMYFUNCTION("""COMPUTED_VALUE"""),"PCM")</f>
        <v>PCM</v>
      </c>
      <c r="N1165" s="19" t="str">
        <f>IFERROR(__xludf.DUMMYFUNCTION("""COMPUTED_VALUE"""),"PRIORIDAD 1 Q3 2023 OCTUBRE")</f>
        <v>PRIORIDAD 1 Q3 2023 OCTUBRE</v>
      </c>
    </row>
    <row r="1166" ht="15.75" customHeight="1">
      <c r="A1166" s="19" t="str">
        <f>IFERROR(__xludf.DUMMYFUNCTION("""COMPUTED_VALUE"""),"AB_10264")</f>
        <v>AB_10264</v>
      </c>
      <c r="B1166" s="19" t="str">
        <f>IFERROR(__xludf.DUMMYFUNCTION("""COMPUTED_VALUE"""),"AB_10264_C")</f>
        <v>AB_10264_C</v>
      </c>
      <c r="C1166" s="19" t="str">
        <f>IFERROR(__xludf.DUMMYFUNCTION("""COMPUTED_VALUE"""),"CO10264")</f>
        <v>CO10264</v>
      </c>
      <c r="D1166" s="19" t="str">
        <f>IFERROR(__xludf.DUMMYFUNCTION("""COMPUTED_VALUE"""),"Cochiguaz")</f>
        <v>Cochiguaz</v>
      </c>
      <c r="E1166" s="19" t="str">
        <f>IFERROR(__xludf.DUMMYFUNCTION("""COMPUTED_VALUE"""),"SITIO ASIGNADO")</f>
        <v>SITIO ASIGNADO</v>
      </c>
      <c r="F1166" s="19"/>
      <c r="G1166" s="19" t="str">
        <f>IFERROR(__xludf.DUMMYFUNCTION("""COMPUTED_VALUE"""),"x")</f>
        <v>x</v>
      </c>
      <c r="H1166" s="19" t="str">
        <f>IFERROR(__xludf.DUMMYFUNCTION("""COMPUTED_VALUE"""),"x")</f>
        <v>x</v>
      </c>
      <c r="I1166" s="19" t="str">
        <f>IFERROR(__xludf.DUMMYFUNCTION("""COMPUTED_VALUE"""),"x")</f>
        <v>x</v>
      </c>
      <c r="J1166" s="20" t="str">
        <f>IFERROR(__xludf.DUMMYFUNCTION("""COMPUTED_VALUE"""),"x")</f>
        <v>x</v>
      </c>
      <c r="K1166" s="19" t="str">
        <f>IFERROR(__xludf.DUMMYFUNCTION("""COMPUTED_VALUE"""),"x")</f>
        <v>x</v>
      </c>
      <c r="L1166" s="20" t="str">
        <f>IFERROR(__xludf.DUMMYFUNCTION("""COMPUTED_VALUE"""),"x")</f>
        <v>x</v>
      </c>
      <c r="M1166" s="19" t="str">
        <f>IFERROR(__xludf.DUMMYFUNCTION("""COMPUTED_VALUE"""),"PCM")</f>
        <v>PCM</v>
      </c>
      <c r="N1166" s="19" t="str">
        <f>IFERROR(__xludf.DUMMYFUNCTION("""COMPUTED_VALUE"""),"PRIORIDAD 1 Q3 2023 OCTUBRE")</f>
        <v>PRIORIDAD 1 Q3 2023 OCTUBRE</v>
      </c>
    </row>
    <row r="1167" ht="15.75" customHeight="1">
      <c r="A1167" s="19" t="str">
        <f>IFERROR(__xludf.DUMMYFUNCTION("""COMPUTED_VALUE"""),"AB_11457")</f>
        <v>AB_11457</v>
      </c>
      <c r="B1167" s="19" t="str">
        <f>IFERROR(__xludf.DUMMYFUNCTION("""COMPUTED_VALUE"""),"AB_11457_A")</f>
        <v>AB_11457_A</v>
      </c>
      <c r="C1167" s="19" t="str">
        <f>IFERROR(__xludf.DUMMYFUNCTION("""COMPUTED_VALUE"""),"CO11457")</f>
        <v>CO11457</v>
      </c>
      <c r="D1167" s="19" t="str">
        <f>IFERROR(__xludf.DUMMYFUNCTION("""COMPUTED_VALUE"""),"Horcon-Elqui 2")</f>
        <v>Horcon-Elqui 2</v>
      </c>
      <c r="E1167" s="19" t="str">
        <f>IFERROR(__xludf.DUMMYFUNCTION("""COMPUTED_VALUE"""),"SITIO RFC")</f>
        <v>SITIO RFC</v>
      </c>
      <c r="F1167" s="19"/>
      <c r="G1167" s="19" t="str">
        <f>IFERROR(__xludf.DUMMYFUNCTION("""COMPUTED_VALUE"""),"x")</f>
        <v>x</v>
      </c>
      <c r="H1167" s="19" t="str">
        <f>IFERROR(__xludf.DUMMYFUNCTION("""COMPUTED_VALUE"""),"x")</f>
        <v>x</v>
      </c>
      <c r="I1167" s="19" t="str">
        <f>IFERROR(__xludf.DUMMYFUNCTION("""COMPUTED_VALUE"""),"x")</f>
        <v>x</v>
      </c>
      <c r="J1167" s="20" t="str">
        <f>IFERROR(__xludf.DUMMYFUNCTION("""COMPUTED_VALUE"""),"x")</f>
        <v>x</v>
      </c>
      <c r="K1167" s="19" t="str">
        <f>IFERROR(__xludf.DUMMYFUNCTION("""COMPUTED_VALUE"""),"x")</f>
        <v>x</v>
      </c>
      <c r="L1167" s="20" t="str">
        <f>IFERROR(__xludf.DUMMYFUNCTION("""COMPUTED_VALUE"""),"x")</f>
        <v>x</v>
      </c>
      <c r="M1167" s="19" t="str">
        <f>IFERROR(__xludf.DUMMYFUNCTION("""COMPUTED_VALUE"""),"PCM_2")</f>
        <v>PCM_2</v>
      </c>
      <c r="N1167" s="19" t="str">
        <f>IFERROR(__xludf.DUMMYFUNCTION("""COMPUTED_VALUE"""),"PRIORIDAD 1 Q3 2023 OCTUBRE")</f>
        <v>PRIORIDAD 1 Q3 2023 OCTUBRE</v>
      </c>
    </row>
    <row r="1168" ht="15.75" customHeight="1">
      <c r="A1168" s="19" t="str">
        <f>IFERROR(__xludf.DUMMYFUNCTION("""COMPUTED_VALUE"""),"AB_1445")</f>
        <v>AB_1445</v>
      </c>
      <c r="B1168" s="19" t="str">
        <f>IFERROR(__xludf.DUMMYFUNCTION("""COMPUTED_VALUE"""),"AB_1445_F")</f>
        <v>AB_1445_F</v>
      </c>
      <c r="C1168" s="19" t="str">
        <f>IFERROR(__xludf.DUMMYFUNCTION("""COMPUTED_VALUE"""),"CO1445")</f>
        <v>CO1445</v>
      </c>
      <c r="D1168" s="19" t="str">
        <f>IFERROR(__xludf.DUMMYFUNCTION("""COMPUTED_VALUE"""),"La Serena Juan Soldado")</f>
        <v>La Serena Juan Soldado</v>
      </c>
      <c r="E1168" s="19" t="str">
        <f>IFERROR(__xludf.DUMMYFUNCTION("""COMPUTED_VALUE"""),"DETENIDO INGENIERIA")</f>
        <v>DETENIDO INGENIERIA</v>
      </c>
      <c r="F1168" s="19"/>
      <c r="G1168" s="19" t="str">
        <f>IFERROR(__xludf.DUMMYFUNCTION("""COMPUTED_VALUE"""),"x")</f>
        <v>x</v>
      </c>
      <c r="H1168" s="19" t="str">
        <f>IFERROR(__xludf.DUMMYFUNCTION("""COMPUTED_VALUE"""),"x")</f>
        <v>x</v>
      </c>
      <c r="I1168" s="19" t="str">
        <f>IFERROR(__xludf.DUMMYFUNCTION("""COMPUTED_VALUE"""),"x")</f>
        <v>x</v>
      </c>
      <c r="J1168" s="20" t="str">
        <f>IFERROR(__xludf.DUMMYFUNCTION("""COMPUTED_VALUE"""),"x")</f>
        <v>x</v>
      </c>
      <c r="K1168" s="19" t="str">
        <f>IFERROR(__xludf.DUMMYFUNCTION("""COMPUTED_VALUE"""),"x")</f>
        <v>x</v>
      </c>
      <c r="L1168" s="20" t="str">
        <f>IFERROR(__xludf.DUMMYFUNCTION("""COMPUTED_VALUE"""),"x")</f>
        <v>x</v>
      </c>
      <c r="M1168" s="19" t="str">
        <f>IFERROR(__xludf.DUMMYFUNCTION("""COMPUTED_VALUE"""),"PP")</f>
        <v>PP</v>
      </c>
      <c r="N1168" s="19" t="str">
        <f>IFERROR(__xludf.DUMMYFUNCTION("""COMPUTED_VALUE"""),"PRIORIDAD 1 Q3 2023 OCTUBRE")</f>
        <v>PRIORIDAD 1 Q3 2023 OCTUBRE</v>
      </c>
    </row>
    <row r="1169" ht="15.75" customHeight="1">
      <c r="A1169" s="19" t="str">
        <f>IFERROR(__xludf.DUMMYFUNCTION("""COMPUTED_VALUE"""),"AB_1733")</f>
        <v>AB_1733</v>
      </c>
      <c r="B1169" s="19" t="str">
        <f>IFERROR(__xludf.DUMMYFUNCTION("""COMPUTED_VALUE"""),"AB_1733_B")</f>
        <v>AB_1733_B</v>
      </c>
      <c r="C1169" s="19" t="str">
        <f>IFERROR(__xludf.DUMMYFUNCTION("""COMPUTED_VALUE"""),"CO1733")</f>
        <v>CO1733</v>
      </c>
      <c r="D1169" s="19" t="str">
        <f>IFERROR(__xludf.DUMMYFUNCTION("""COMPUTED_VALUE"""),"Las Tacas Ruta 5")</f>
        <v>Las Tacas Ruta 5</v>
      </c>
      <c r="E1169" s="19" t="str">
        <f>IFERROR(__xludf.DUMMYFUNCTION("""COMPUTED_VALUE"""),"SITIO ASIGNADO")</f>
        <v>SITIO ASIGNADO</v>
      </c>
      <c r="F1169" s="19"/>
      <c r="G1169" s="19" t="str">
        <f>IFERROR(__xludf.DUMMYFUNCTION("""COMPUTED_VALUE"""),"x")</f>
        <v>x</v>
      </c>
      <c r="H1169" s="19" t="str">
        <f>IFERROR(__xludf.DUMMYFUNCTION("""COMPUTED_VALUE"""),"x")</f>
        <v>x</v>
      </c>
      <c r="I1169" s="19" t="str">
        <f>IFERROR(__xludf.DUMMYFUNCTION("""COMPUTED_VALUE"""),"x")</f>
        <v>x</v>
      </c>
      <c r="J1169" s="20" t="str">
        <f>IFERROR(__xludf.DUMMYFUNCTION("""COMPUTED_VALUE"""),"x")</f>
        <v>x</v>
      </c>
      <c r="K1169" s="19" t="str">
        <f>IFERROR(__xludf.DUMMYFUNCTION("""COMPUTED_VALUE"""),"x")</f>
        <v>x</v>
      </c>
      <c r="L1169" s="20" t="str">
        <f>IFERROR(__xludf.DUMMYFUNCTION("""COMPUTED_VALUE"""),"x")</f>
        <v>x</v>
      </c>
      <c r="M1169" s="19" t="str">
        <f>IFERROR(__xludf.DUMMYFUNCTION("""COMPUTED_VALUE"""),"PP")</f>
        <v>PP</v>
      </c>
      <c r="N1169" s="19" t="str">
        <f>IFERROR(__xludf.DUMMYFUNCTION("""COMPUTED_VALUE"""),"PRIORIDAD 1 Q3 2023 OCTUBRE")</f>
        <v>PRIORIDAD 1 Q3 2023 OCTUBRE</v>
      </c>
    </row>
    <row r="1170" ht="15.75" customHeight="1">
      <c r="A1170" s="19" t="str">
        <f>IFERROR(__xludf.DUMMYFUNCTION("""COMPUTED_VALUE"""),"AB_2066")</f>
        <v>AB_2066</v>
      </c>
      <c r="B1170" s="19" t="str">
        <f>IFERROR(__xludf.DUMMYFUNCTION("""COMPUTED_VALUE"""),"AB_2066_D")</f>
        <v>AB_2066_D</v>
      </c>
      <c r="C1170" s="19" t="str">
        <f>IFERROR(__xludf.DUMMYFUNCTION("""COMPUTED_VALUE"""),"CO2066")</f>
        <v>CO2066</v>
      </c>
      <c r="D1170" s="19" t="str">
        <f>IFERROR(__xludf.DUMMYFUNCTION("""COMPUTED_VALUE"""),"Caleta Hornos")</f>
        <v>Caleta Hornos</v>
      </c>
      <c r="E1170" s="19" t="str">
        <f>IFERROR(__xludf.DUMMYFUNCTION("""COMPUTED_VALUE"""),"SITIO RFC")</f>
        <v>SITIO RFC</v>
      </c>
      <c r="F1170" s="19"/>
      <c r="G1170" s="19" t="str">
        <f>IFERROR(__xludf.DUMMYFUNCTION("""COMPUTED_VALUE"""),"x")</f>
        <v>x</v>
      </c>
      <c r="H1170" s="19" t="str">
        <f>IFERROR(__xludf.DUMMYFUNCTION("""COMPUTED_VALUE"""),"x")</f>
        <v>x</v>
      </c>
      <c r="I1170" s="19" t="str">
        <f>IFERROR(__xludf.DUMMYFUNCTION("""COMPUTED_VALUE"""),"x")</f>
        <v>x</v>
      </c>
      <c r="J1170" s="20" t="str">
        <f>IFERROR(__xludf.DUMMYFUNCTION("""COMPUTED_VALUE"""),"x")</f>
        <v>x</v>
      </c>
      <c r="K1170" s="19" t="str">
        <f>IFERROR(__xludf.DUMMYFUNCTION("""COMPUTED_VALUE"""),"x")</f>
        <v>x</v>
      </c>
      <c r="L1170" s="20" t="str">
        <f>IFERROR(__xludf.DUMMYFUNCTION("""COMPUTED_VALUE"""),"x")</f>
        <v>x</v>
      </c>
      <c r="M1170" s="19" t="str">
        <f>IFERROR(__xludf.DUMMYFUNCTION("""COMPUTED_VALUE"""),"PCM")</f>
        <v>PCM</v>
      </c>
      <c r="N1170" s="19" t="str">
        <f>IFERROR(__xludf.DUMMYFUNCTION("""COMPUTED_VALUE"""),"PRIORIDAD 1 Q3 2023 OCTUBRE")</f>
        <v>PRIORIDAD 1 Q3 2023 OCTUBRE</v>
      </c>
    </row>
    <row r="1171" ht="15.75" customHeight="1">
      <c r="A1171" s="19" t="str">
        <f>IFERROR(__xludf.DUMMYFUNCTION("""COMPUTED_VALUE"""),"AB_4038")</f>
        <v>AB_4038</v>
      </c>
      <c r="B1171" s="19" t="str">
        <f>IFERROR(__xludf.DUMMYFUNCTION("""COMPUTED_VALUE"""),"AB_4038_C")</f>
        <v>AB_4038_C</v>
      </c>
      <c r="C1171" s="19" t="str">
        <f>IFERROR(__xludf.DUMMYFUNCTION("""COMPUTED_VALUE"""),"CO4038")</f>
        <v>CO4038</v>
      </c>
      <c r="D1171" s="19" t="str">
        <f>IFERROR(__xludf.DUMMYFUNCTION("""COMPUTED_VALUE"""),"Salala")</f>
        <v>Salala</v>
      </c>
      <c r="E1171" s="19" t="str">
        <f>IFERROR(__xludf.DUMMYFUNCTION("""COMPUTED_VALUE"""),"SITIO EN CONSTRUCCION")</f>
        <v>SITIO EN CONSTRUCCION</v>
      </c>
      <c r="F1171" s="19"/>
      <c r="G1171" s="19" t="str">
        <f>IFERROR(__xludf.DUMMYFUNCTION("""COMPUTED_VALUE"""),"x")</f>
        <v>x</v>
      </c>
      <c r="H1171" s="19" t="str">
        <f>IFERROR(__xludf.DUMMYFUNCTION("""COMPUTED_VALUE"""),"x")</f>
        <v>x</v>
      </c>
      <c r="I1171" s="19" t="str">
        <f>IFERROR(__xludf.DUMMYFUNCTION("""COMPUTED_VALUE"""),"x")</f>
        <v>x</v>
      </c>
      <c r="J1171" s="20" t="str">
        <f>IFERROR(__xludf.DUMMYFUNCTION("""COMPUTED_VALUE"""),"x")</f>
        <v>x</v>
      </c>
      <c r="K1171" s="19" t="str">
        <f>IFERROR(__xludf.DUMMYFUNCTION("""COMPUTED_VALUE"""),"x")</f>
        <v>x</v>
      </c>
      <c r="L1171" s="20" t="str">
        <f>IFERROR(__xludf.DUMMYFUNCTION("""COMPUTED_VALUE"""),"x")</f>
        <v>x</v>
      </c>
      <c r="M1171" s="19" t="str">
        <f>IFERROR(__xludf.DUMMYFUNCTION("""COMPUTED_VALUE"""),"PP")</f>
        <v>PP</v>
      </c>
      <c r="N1171" s="19" t="str">
        <f>IFERROR(__xludf.DUMMYFUNCTION("""COMPUTED_VALUE"""),"PRIORIDAD 1 Q3 2023 OCTUBRE")</f>
        <v>PRIORIDAD 1 Q3 2023 OCTUBRE</v>
      </c>
    </row>
    <row r="1172" ht="15.75" customHeight="1">
      <c r="A1172" s="19" t="str">
        <f>IFERROR(__xludf.DUMMYFUNCTION("""COMPUTED_VALUE"""),"AB_4042")</f>
        <v>AB_4042</v>
      </c>
      <c r="B1172" s="19" t="str">
        <f>IFERROR(__xludf.DUMMYFUNCTION("""COMPUTED_VALUE"""),"AB_4042_C")</f>
        <v>AB_4042_C</v>
      </c>
      <c r="C1172" s="19" t="str">
        <f>IFERROR(__xludf.DUMMYFUNCTION("""COMPUTED_VALUE"""),"CO4042")</f>
        <v>CO4042</v>
      </c>
      <c r="D1172" s="19" t="str">
        <f>IFERROR(__xludf.DUMMYFUNCTION("""COMPUTED_VALUE"""),"La Hoyada")</f>
        <v>La Hoyada</v>
      </c>
      <c r="E1172" s="19" t="str">
        <f>IFERROR(__xludf.DUMMYFUNCTION("""COMPUTED_VALUE"""),"SITIO RFI")</f>
        <v>SITIO RFI</v>
      </c>
      <c r="F1172" s="19"/>
      <c r="G1172" s="19" t="str">
        <f>IFERROR(__xludf.DUMMYFUNCTION("""COMPUTED_VALUE"""),"x")</f>
        <v>x</v>
      </c>
      <c r="H1172" s="19" t="str">
        <f>IFERROR(__xludf.DUMMYFUNCTION("""COMPUTED_VALUE"""),"x")</f>
        <v>x</v>
      </c>
      <c r="I1172" s="19" t="str">
        <f>IFERROR(__xludf.DUMMYFUNCTION("""COMPUTED_VALUE"""),"x")</f>
        <v>x</v>
      </c>
      <c r="J1172" s="20" t="str">
        <f>IFERROR(__xludf.DUMMYFUNCTION("""COMPUTED_VALUE"""),"x")</f>
        <v>x</v>
      </c>
      <c r="K1172" s="19" t="str">
        <f>IFERROR(__xludf.DUMMYFUNCTION("""COMPUTED_VALUE"""),"x")</f>
        <v>x</v>
      </c>
      <c r="L1172" s="20" t="str">
        <f>IFERROR(__xludf.DUMMYFUNCTION("""COMPUTED_VALUE"""),"x")</f>
        <v>x</v>
      </c>
      <c r="M1172" s="19" t="str">
        <f>IFERROR(__xludf.DUMMYFUNCTION("""COMPUTED_VALUE"""),"PCM")</f>
        <v>PCM</v>
      </c>
      <c r="N1172" s="19" t="str">
        <f>IFERROR(__xludf.DUMMYFUNCTION("""COMPUTED_VALUE"""),"PRIORIDAD 1 Q3 2023 OCTUBRE")</f>
        <v>PRIORIDAD 1 Q3 2023 OCTUBRE</v>
      </c>
    </row>
    <row r="1173" ht="15.75" customHeight="1">
      <c r="A1173" s="19" t="str">
        <f>IFERROR(__xludf.DUMMYFUNCTION("""COMPUTED_VALUE"""),"AB_4044")</f>
        <v>AB_4044</v>
      </c>
      <c r="B1173" s="19" t="str">
        <f>IFERROR(__xludf.DUMMYFUNCTION("""COMPUTED_VALUE"""),"AB_4044_C")</f>
        <v>AB_4044_C</v>
      </c>
      <c r="C1173" s="19" t="str">
        <f>IFERROR(__xludf.DUMMYFUNCTION("""COMPUTED_VALUE"""),"CO4044")</f>
        <v>CO4044</v>
      </c>
      <c r="D1173" s="19" t="str">
        <f>IFERROR(__xludf.DUMMYFUNCTION("""COMPUTED_VALUE"""),"San Pedro Sur")</f>
        <v>San Pedro Sur</v>
      </c>
      <c r="E1173" s="19" t="str">
        <f>IFERROR(__xludf.DUMMYFUNCTION("""COMPUTED_VALUE"""),"SITIO RFI")</f>
        <v>SITIO RFI</v>
      </c>
      <c r="F1173" s="19"/>
      <c r="G1173" s="19" t="str">
        <f>IFERROR(__xludf.DUMMYFUNCTION("""COMPUTED_VALUE"""),"x")</f>
        <v>x</v>
      </c>
      <c r="H1173" s="19" t="str">
        <f>IFERROR(__xludf.DUMMYFUNCTION("""COMPUTED_VALUE"""),"x")</f>
        <v>x</v>
      </c>
      <c r="I1173" s="19" t="str">
        <f>IFERROR(__xludf.DUMMYFUNCTION("""COMPUTED_VALUE"""),"x")</f>
        <v>x</v>
      </c>
      <c r="J1173" s="20" t="str">
        <f>IFERROR(__xludf.DUMMYFUNCTION("""COMPUTED_VALUE"""),"x")</f>
        <v>x</v>
      </c>
      <c r="K1173" s="19" t="str">
        <f>IFERROR(__xludf.DUMMYFUNCTION("""COMPUTED_VALUE"""),"x")</f>
        <v>x</v>
      </c>
      <c r="L1173" s="20" t="str">
        <f>IFERROR(__xludf.DUMMYFUNCTION("""COMPUTED_VALUE"""),"x")</f>
        <v>x</v>
      </c>
      <c r="M1173" s="19" t="str">
        <f>IFERROR(__xludf.DUMMYFUNCTION("""COMPUTED_VALUE"""),"PCM")</f>
        <v>PCM</v>
      </c>
      <c r="N1173" s="19" t="str">
        <f>IFERROR(__xludf.DUMMYFUNCTION("""COMPUTED_VALUE"""),"PRIORIDAD 1 Q3 2023 OCTUBRE")</f>
        <v>PRIORIDAD 1 Q3 2023 OCTUBRE</v>
      </c>
    </row>
    <row r="1174" ht="15.75" customHeight="1">
      <c r="A1174" s="19" t="str">
        <f>IFERROR(__xludf.DUMMYFUNCTION("""COMPUTED_VALUE"""),"AB_7025")</f>
        <v>AB_7025</v>
      </c>
      <c r="B1174" s="19" t="str">
        <f>IFERROR(__xludf.DUMMYFUNCTION("""COMPUTED_VALUE"""),"AB_7025_L")</f>
        <v>AB_7025_L</v>
      </c>
      <c r="C1174" s="19" t="str">
        <f>IFERROR(__xludf.DUMMYFUNCTION("""COMPUTED_VALUE"""),"CO7025")</f>
        <v>CO7025</v>
      </c>
      <c r="D1174" s="19" t="str">
        <f>IFERROR(__xludf.DUMMYFUNCTION("""COMPUTED_VALUE"""),"Los Copaos La Serena RU")</f>
        <v>Los Copaos La Serena RU</v>
      </c>
      <c r="E1174" s="19" t="str">
        <f>IFERROR(__xludf.DUMMYFUNCTION("""COMPUTED_VALUE"""),"SITIO RFI")</f>
        <v>SITIO RFI</v>
      </c>
      <c r="F1174" s="19"/>
      <c r="G1174" s="19" t="str">
        <f>IFERROR(__xludf.DUMMYFUNCTION("""COMPUTED_VALUE"""),"x")</f>
        <v>x</v>
      </c>
      <c r="H1174" s="19" t="str">
        <f>IFERROR(__xludf.DUMMYFUNCTION("""COMPUTED_VALUE"""),"x")</f>
        <v>x</v>
      </c>
      <c r="I1174" s="19" t="str">
        <f>IFERROR(__xludf.DUMMYFUNCTION("""COMPUTED_VALUE"""),"x")</f>
        <v>x</v>
      </c>
      <c r="J1174" s="20" t="str">
        <f>IFERROR(__xludf.DUMMYFUNCTION("""COMPUTED_VALUE"""),"x")</f>
        <v>x</v>
      </c>
      <c r="K1174" s="19" t="str">
        <f>IFERROR(__xludf.DUMMYFUNCTION("""COMPUTED_VALUE"""),"x")</f>
        <v>x</v>
      </c>
      <c r="L1174" s="20" t="str">
        <f>IFERROR(__xludf.DUMMYFUNCTION("""COMPUTED_VALUE"""),"x")</f>
        <v>x</v>
      </c>
      <c r="M1174" s="19" t="str">
        <f>IFERROR(__xludf.DUMMYFUNCTION("""COMPUTED_VALUE"""),"PCM")</f>
        <v>PCM</v>
      </c>
      <c r="N1174" s="19" t="str">
        <f>IFERROR(__xludf.DUMMYFUNCTION("""COMPUTED_VALUE"""),"PRIORIDAD 1 Q3 2023 OCTUBRE")</f>
        <v>PRIORIDAD 1 Q3 2023 OCTUBRE</v>
      </c>
    </row>
    <row r="1175" ht="15.75" customHeight="1">
      <c r="A1175" s="19" t="str">
        <f>IFERROR(__xludf.DUMMYFUNCTION("""COMPUTED_VALUE"""),"AB_7918")</f>
        <v>AB_7918</v>
      </c>
      <c r="B1175" s="19" t="str">
        <f>IFERROR(__xludf.DUMMYFUNCTION("""COMPUTED_VALUE"""),"AB_7918_G")</f>
        <v>AB_7918_G</v>
      </c>
      <c r="C1175" s="19" t="str">
        <f>IFERROR(__xludf.DUMMYFUNCTION("""COMPUTED_VALUE"""),"CO7918")</f>
        <v>CO7918</v>
      </c>
      <c r="D1175" s="19" t="str">
        <f>IFERROR(__xludf.DUMMYFUNCTION("""COMPUTED_VALUE"""),"Guillermo Ulriksen RU1")</f>
        <v>Guillermo Ulriksen RU1</v>
      </c>
      <c r="E1175" s="19" t="str">
        <f>IFERROR(__xludf.DUMMYFUNCTION("""COMPUTED_VALUE"""),"SITIO RFI")</f>
        <v>SITIO RFI</v>
      </c>
      <c r="F1175" s="19"/>
      <c r="G1175" s="19" t="str">
        <f>IFERROR(__xludf.DUMMYFUNCTION("""COMPUTED_VALUE"""),"x")</f>
        <v>x</v>
      </c>
      <c r="H1175" s="19" t="str">
        <f>IFERROR(__xludf.DUMMYFUNCTION("""COMPUTED_VALUE"""),"x")</f>
        <v>x</v>
      </c>
      <c r="I1175" s="19" t="str">
        <f>IFERROR(__xludf.DUMMYFUNCTION("""COMPUTED_VALUE"""),"x")</f>
        <v>x</v>
      </c>
      <c r="J1175" s="20" t="str">
        <f>IFERROR(__xludf.DUMMYFUNCTION("""COMPUTED_VALUE"""),"x")</f>
        <v>x</v>
      </c>
      <c r="K1175" s="19" t="str">
        <f>IFERROR(__xludf.DUMMYFUNCTION("""COMPUTED_VALUE"""),"x")</f>
        <v>x</v>
      </c>
      <c r="L1175" s="20" t="str">
        <f>IFERROR(__xludf.DUMMYFUNCTION("""COMPUTED_VALUE"""),"x")</f>
        <v>x</v>
      </c>
      <c r="M1175" s="19" t="str">
        <f>IFERROR(__xludf.DUMMYFUNCTION("""COMPUTED_VALUE"""),"PCM")</f>
        <v>PCM</v>
      </c>
      <c r="N1175" s="19" t="str">
        <f>IFERROR(__xludf.DUMMYFUNCTION("""COMPUTED_VALUE"""),"PRIORIDAD 1 Q3 2023 OCTUBRE")</f>
        <v>PRIORIDAD 1 Q3 2023 OCTUBRE</v>
      </c>
    </row>
    <row r="1176" ht="15.75" customHeight="1">
      <c r="A1176" s="19" t="str">
        <f>IFERROR(__xludf.DUMMYFUNCTION("""COMPUTED_VALUE"""),"AB_9103")</f>
        <v>AB_9103</v>
      </c>
      <c r="B1176" s="19" t="str">
        <f>IFERROR(__xludf.DUMMYFUNCTION("""COMPUTED_VALUE"""),"AB_9103_B")</f>
        <v>AB_9103_B</v>
      </c>
      <c r="C1176" s="19" t="str">
        <f>IFERROR(__xludf.DUMMYFUNCTION("""COMPUTED_VALUE"""),"CO9103")</f>
        <v>CO9103</v>
      </c>
      <c r="D1176" s="19" t="str">
        <f>IFERROR(__xludf.DUMMYFUNCTION("""COMPUTED_VALUE"""),"Las Ramadas Punitaqui")</f>
        <v>Las Ramadas Punitaqui</v>
      </c>
      <c r="E1176" s="19" t="str">
        <f>IFERROR(__xludf.DUMMYFUNCTION("""COMPUTED_VALUE"""),"SITIO RFI")</f>
        <v>SITIO RFI</v>
      </c>
      <c r="F1176" s="19"/>
      <c r="G1176" s="19" t="str">
        <f>IFERROR(__xludf.DUMMYFUNCTION("""COMPUTED_VALUE"""),"x")</f>
        <v>x</v>
      </c>
      <c r="H1176" s="19" t="str">
        <f>IFERROR(__xludf.DUMMYFUNCTION("""COMPUTED_VALUE"""),"x")</f>
        <v>x</v>
      </c>
      <c r="I1176" s="19" t="str">
        <f>IFERROR(__xludf.DUMMYFUNCTION("""COMPUTED_VALUE"""),"x")</f>
        <v>x</v>
      </c>
      <c r="J1176" s="20" t="str">
        <f>IFERROR(__xludf.DUMMYFUNCTION("""COMPUTED_VALUE"""),"x")</f>
        <v>x</v>
      </c>
      <c r="K1176" s="19" t="str">
        <f>IFERROR(__xludf.DUMMYFUNCTION("""COMPUTED_VALUE"""),"x")</f>
        <v>x</v>
      </c>
      <c r="L1176" s="20" t="str">
        <f>IFERROR(__xludf.DUMMYFUNCTION("""COMPUTED_VALUE"""),"x")</f>
        <v>x</v>
      </c>
      <c r="M1176" s="19" t="str">
        <f>IFERROR(__xludf.DUMMYFUNCTION("""COMPUTED_VALUE"""),"PCM")</f>
        <v>PCM</v>
      </c>
      <c r="N1176" s="19" t="str">
        <f>IFERROR(__xludf.DUMMYFUNCTION("""COMPUTED_VALUE"""),"PRIORIDAD 1 Q3 2023 OCTUBRE")</f>
        <v>PRIORIDAD 1 Q3 2023 OCTUBRE</v>
      </c>
    </row>
    <row r="1177" ht="15.75" customHeight="1">
      <c r="A1177" s="19" t="str">
        <f>IFERROR(__xludf.DUMMYFUNCTION("""COMPUTED_VALUE"""),"AB_9108")</f>
        <v>AB_9108</v>
      </c>
      <c r="B1177" s="19" t="str">
        <f>IFERROR(__xludf.DUMMYFUNCTION("""COMPUTED_VALUE"""),"AB_9108_D")</f>
        <v>AB_9108_D</v>
      </c>
      <c r="C1177" s="19" t="str">
        <f>IFERROR(__xludf.DUMMYFUNCTION("""COMPUTED_VALUE"""),"CO9108")</f>
        <v>CO9108</v>
      </c>
      <c r="D1177" s="19" t="str">
        <f>IFERROR(__xludf.DUMMYFUNCTION("""COMPUTED_VALUE"""),"Paihuano pueblo")</f>
        <v>Paihuano pueblo</v>
      </c>
      <c r="E1177" s="19" t="str">
        <f>IFERROR(__xludf.DUMMYFUNCTION("""COMPUTED_VALUE"""),"SITIO RFC")</f>
        <v>SITIO RFC</v>
      </c>
      <c r="F1177" s="19"/>
      <c r="G1177" s="19" t="str">
        <f>IFERROR(__xludf.DUMMYFUNCTION("""COMPUTED_VALUE"""),"x")</f>
        <v>x</v>
      </c>
      <c r="H1177" s="19" t="str">
        <f>IFERROR(__xludf.DUMMYFUNCTION("""COMPUTED_VALUE"""),"x")</f>
        <v>x</v>
      </c>
      <c r="I1177" s="19" t="str">
        <f>IFERROR(__xludf.DUMMYFUNCTION("""COMPUTED_VALUE"""),"x")</f>
        <v>x</v>
      </c>
      <c r="J1177" s="20" t="str">
        <f>IFERROR(__xludf.DUMMYFUNCTION("""COMPUTED_VALUE"""),"x")</f>
        <v>x</v>
      </c>
      <c r="K1177" s="19" t="str">
        <f>IFERROR(__xludf.DUMMYFUNCTION("""COMPUTED_VALUE"""),"x")</f>
        <v>x</v>
      </c>
      <c r="L1177" s="20" t="str">
        <f>IFERROR(__xludf.DUMMYFUNCTION("""COMPUTED_VALUE"""),"x")</f>
        <v>x</v>
      </c>
      <c r="M1177" s="19" t="str">
        <f>IFERROR(__xludf.DUMMYFUNCTION("""COMPUTED_VALUE"""),"PCM")</f>
        <v>PCM</v>
      </c>
      <c r="N1177" s="19" t="str">
        <f>IFERROR(__xludf.DUMMYFUNCTION("""COMPUTED_VALUE"""),"PRIORIDAD 1 Q3 2023 OCTUBRE")</f>
        <v>PRIORIDAD 1 Q3 2023 OCTUBRE</v>
      </c>
    </row>
    <row r="1178" ht="15.75" customHeight="1">
      <c r="A1178" s="19" t="str">
        <f>IFERROR(__xludf.DUMMYFUNCTION("""COMPUTED_VALUE"""),"AB_9124")</f>
        <v>AB_9124</v>
      </c>
      <c r="B1178" s="19" t="str">
        <f>IFERROR(__xludf.DUMMYFUNCTION("""COMPUTED_VALUE"""),"AB_9124_D")</f>
        <v>AB_9124_D</v>
      </c>
      <c r="C1178" s="19" t="str">
        <f>IFERROR(__xludf.DUMMYFUNCTION("""COMPUTED_VALUE"""),"CO9124")</f>
        <v>CO9124</v>
      </c>
      <c r="D1178" s="19" t="str">
        <f>IFERROR(__xludf.DUMMYFUNCTION("""COMPUTED_VALUE"""),"Caleta Ñague")</f>
        <v>Caleta Ñague</v>
      </c>
      <c r="E1178" s="19" t="str">
        <f>IFERROR(__xludf.DUMMYFUNCTION("""COMPUTED_VALUE"""),"SITIO RFC")</f>
        <v>SITIO RFC</v>
      </c>
      <c r="F1178" s="19"/>
      <c r="G1178" s="19" t="str">
        <f>IFERROR(__xludf.DUMMYFUNCTION("""COMPUTED_VALUE"""),"x")</f>
        <v>x</v>
      </c>
      <c r="H1178" s="19" t="str">
        <f>IFERROR(__xludf.DUMMYFUNCTION("""COMPUTED_VALUE"""),"x")</f>
        <v>x</v>
      </c>
      <c r="I1178" s="19" t="str">
        <f>IFERROR(__xludf.DUMMYFUNCTION("""COMPUTED_VALUE"""),"x")</f>
        <v>x</v>
      </c>
      <c r="J1178" s="20" t="str">
        <f>IFERROR(__xludf.DUMMYFUNCTION("""COMPUTED_VALUE"""),"x")</f>
        <v>x</v>
      </c>
      <c r="K1178" s="19" t="str">
        <f>IFERROR(__xludf.DUMMYFUNCTION("""COMPUTED_VALUE"""),"x")</f>
        <v>x</v>
      </c>
      <c r="L1178" s="20" t="str">
        <f>IFERROR(__xludf.DUMMYFUNCTION("""COMPUTED_VALUE"""),"x")</f>
        <v>x</v>
      </c>
      <c r="M1178" s="19" t="str">
        <f>IFERROR(__xludf.DUMMYFUNCTION("""COMPUTED_VALUE"""),"PP")</f>
        <v>PP</v>
      </c>
      <c r="N1178" s="19" t="str">
        <f>IFERROR(__xludf.DUMMYFUNCTION("""COMPUTED_VALUE"""),"PRIORIDAD 1 Q3 2023 OCTUBRE")</f>
        <v>PRIORIDAD 1 Q3 2023 OCTUBRE</v>
      </c>
    </row>
    <row r="1179" ht="15.75" customHeight="1">
      <c r="A1179" s="19" t="str">
        <f>IFERROR(__xludf.DUMMYFUNCTION("""COMPUTED_VALUE"""),"AB_9610")</f>
        <v>AB_9610</v>
      </c>
      <c r="B1179" s="19" t="str">
        <f>IFERROR(__xludf.DUMMYFUNCTION("""COMPUTED_VALUE"""),"AB_9610_A")</f>
        <v>AB_9610_A</v>
      </c>
      <c r="C1179" s="19" t="str">
        <f>IFERROR(__xludf.DUMMYFUNCTION("""COMPUTED_VALUE"""),"CO9610")</f>
        <v>CO9610</v>
      </c>
      <c r="D1179" s="19" t="str">
        <f>IFERROR(__xludf.DUMMYFUNCTION("""COMPUTED_VALUE"""),"Monte Redondo")</f>
        <v>Monte Redondo</v>
      </c>
      <c r="E1179" s="19" t="str">
        <f>IFERROR(__xludf.DUMMYFUNCTION("""COMPUTED_VALUE"""),"SITIO RFI")</f>
        <v>SITIO RFI</v>
      </c>
      <c r="F1179" s="19"/>
      <c r="G1179" s="19" t="str">
        <f>IFERROR(__xludf.DUMMYFUNCTION("""COMPUTED_VALUE"""),"x")</f>
        <v>x</v>
      </c>
      <c r="H1179" s="19" t="str">
        <f>IFERROR(__xludf.DUMMYFUNCTION("""COMPUTED_VALUE"""),"x")</f>
        <v>x</v>
      </c>
      <c r="I1179" s="19" t="str">
        <f>IFERROR(__xludf.DUMMYFUNCTION("""COMPUTED_VALUE"""),"x")</f>
        <v>x</v>
      </c>
      <c r="J1179" s="20" t="str">
        <f>IFERROR(__xludf.DUMMYFUNCTION("""COMPUTED_VALUE"""),"x")</f>
        <v>x</v>
      </c>
      <c r="K1179" s="19" t="str">
        <f>IFERROR(__xludf.DUMMYFUNCTION("""COMPUTED_VALUE"""),"x")</f>
        <v>x</v>
      </c>
      <c r="L1179" s="20" t="str">
        <f>IFERROR(__xludf.DUMMYFUNCTION("""COMPUTED_VALUE"""),"x")</f>
        <v>x</v>
      </c>
      <c r="M1179" s="19" t="str">
        <f>IFERROR(__xludf.DUMMYFUNCTION("""COMPUTED_VALUE"""),"PP")</f>
        <v>PP</v>
      </c>
      <c r="N1179" s="19" t="str">
        <f>IFERROR(__xludf.DUMMYFUNCTION("""COMPUTED_VALUE"""),"PRIORIDAD 1 Q3 2023 OCTUBRE")</f>
        <v>PRIORIDAD 1 Q3 2023 OCTUBRE</v>
      </c>
    </row>
    <row r="1180" ht="15.75" customHeight="1">
      <c r="A1180" s="19" t="str">
        <f>IFERROR(__xludf.DUMMYFUNCTION("""COMPUTED_VALUE"""),"AB_9612")</f>
        <v>AB_9612</v>
      </c>
      <c r="B1180" s="19" t="str">
        <f>IFERROR(__xludf.DUMMYFUNCTION("""COMPUTED_VALUE"""),"AB_9612_A")</f>
        <v>AB_9612_A</v>
      </c>
      <c r="C1180" s="19" t="str">
        <f>IFERROR(__xludf.DUMMYFUNCTION("""COMPUTED_VALUE"""),"CO9612")</f>
        <v>CO9612</v>
      </c>
      <c r="D1180" s="19" t="str">
        <f>IFERROR(__xludf.DUMMYFUNCTION("""COMPUTED_VALUE"""),"Ruta 5 Puerto Oscuro")</f>
        <v>Ruta 5 Puerto Oscuro</v>
      </c>
      <c r="E1180" s="19" t="str">
        <f>IFERROR(__xludf.DUMMYFUNCTION("""COMPUTED_VALUE"""),"SITIO RFI")</f>
        <v>SITIO RFI</v>
      </c>
      <c r="F1180" s="19"/>
      <c r="G1180" s="19" t="str">
        <f>IFERROR(__xludf.DUMMYFUNCTION("""COMPUTED_VALUE"""),"x")</f>
        <v>x</v>
      </c>
      <c r="H1180" s="19" t="str">
        <f>IFERROR(__xludf.DUMMYFUNCTION("""COMPUTED_VALUE"""),"x")</f>
        <v>x</v>
      </c>
      <c r="I1180" s="19" t="str">
        <f>IFERROR(__xludf.DUMMYFUNCTION("""COMPUTED_VALUE"""),"x")</f>
        <v>x</v>
      </c>
      <c r="J1180" s="20" t="str">
        <f>IFERROR(__xludf.DUMMYFUNCTION("""COMPUTED_VALUE"""),"x")</f>
        <v>x</v>
      </c>
      <c r="K1180" s="19" t="str">
        <f>IFERROR(__xludf.DUMMYFUNCTION("""COMPUTED_VALUE"""),"x")</f>
        <v>x</v>
      </c>
      <c r="L1180" s="20" t="str">
        <f>IFERROR(__xludf.DUMMYFUNCTION("""COMPUTED_VALUE"""),"x")</f>
        <v>x</v>
      </c>
      <c r="M1180" s="19" t="str">
        <f>IFERROR(__xludf.DUMMYFUNCTION("""COMPUTED_VALUE"""),"PP")</f>
        <v>PP</v>
      </c>
      <c r="N1180" s="19" t="str">
        <f>IFERROR(__xludf.DUMMYFUNCTION("""COMPUTED_VALUE"""),"PRIORIDAD 1 Q3 2023 OCTUBRE")</f>
        <v>PRIORIDAD 1 Q3 2023 OCTUBRE</v>
      </c>
    </row>
    <row r="1181" ht="15.75" customHeight="1">
      <c r="A1181" s="19" t="str">
        <f>IFERROR(__xludf.DUMMYFUNCTION("""COMPUTED_VALUE"""),"AB_9620")</f>
        <v>AB_9620</v>
      </c>
      <c r="B1181" s="19" t="str">
        <f>IFERROR(__xludf.DUMMYFUNCTION("""COMPUTED_VALUE"""),"AB_9620_B")</f>
        <v>AB_9620_B</v>
      </c>
      <c r="C1181" s="19" t="str">
        <f>IFERROR(__xludf.DUMMYFUNCTION("""COMPUTED_VALUE"""),"CO9620")</f>
        <v>CO9620</v>
      </c>
      <c r="D1181" s="19" t="str">
        <f>IFERROR(__xludf.DUMMYFUNCTION("""COMPUTED_VALUE"""),"Ruta 5 Costa Huentelauquen")</f>
        <v>Ruta 5 Costa Huentelauquen</v>
      </c>
      <c r="E1181" s="19" t="str">
        <f>IFERROR(__xludf.DUMMYFUNCTION("""COMPUTED_VALUE"""),"SITIO RFC")</f>
        <v>SITIO RFC</v>
      </c>
      <c r="F1181" s="19"/>
      <c r="G1181" s="19" t="str">
        <f>IFERROR(__xludf.DUMMYFUNCTION("""COMPUTED_VALUE"""),"x")</f>
        <v>x</v>
      </c>
      <c r="H1181" s="19" t="str">
        <f>IFERROR(__xludf.DUMMYFUNCTION("""COMPUTED_VALUE"""),"x")</f>
        <v>x</v>
      </c>
      <c r="I1181" s="19" t="str">
        <f>IFERROR(__xludf.DUMMYFUNCTION("""COMPUTED_VALUE"""),"x")</f>
        <v>x</v>
      </c>
      <c r="J1181" s="20" t="str">
        <f>IFERROR(__xludf.DUMMYFUNCTION("""COMPUTED_VALUE"""),"x")</f>
        <v>x</v>
      </c>
      <c r="K1181" s="19" t="str">
        <f>IFERROR(__xludf.DUMMYFUNCTION("""COMPUTED_VALUE"""),"x")</f>
        <v>x</v>
      </c>
      <c r="L1181" s="20" t="str">
        <f>IFERROR(__xludf.DUMMYFUNCTION("""COMPUTED_VALUE"""),"x")</f>
        <v>x</v>
      </c>
      <c r="M1181" s="19" t="str">
        <f>IFERROR(__xludf.DUMMYFUNCTION("""COMPUTED_VALUE"""),"PP")</f>
        <v>PP</v>
      </c>
      <c r="N1181" s="19" t="str">
        <f>IFERROR(__xludf.DUMMYFUNCTION("""COMPUTED_VALUE"""),"PRIORIDAD 1 Q3 2023 OCTUBRE")</f>
        <v>PRIORIDAD 1 Q3 2023 OCTUBRE</v>
      </c>
    </row>
    <row r="1182" ht="15.75" customHeight="1">
      <c r="A1182" s="19" t="str">
        <f>IFERROR(__xludf.DUMMYFUNCTION("""COMPUTED_VALUE"""),"AB_9625")</f>
        <v>AB_9625</v>
      </c>
      <c r="B1182" s="19" t="str">
        <f>IFERROR(__xludf.DUMMYFUNCTION("""COMPUTED_VALUE"""),"AB_9625_C")</f>
        <v>AB_9625_C</v>
      </c>
      <c r="C1182" s="19" t="str">
        <f>IFERROR(__xludf.DUMMYFUNCTION("""COMPUTED_VALUE"""),"CO9625")</f>
        <v>CO9625</v>
      </c>
      <c r="D1182" s="19" t="str">
        <f>IFERROR(__xludf.DUMMYFUNCTION("""COMPUTED_VALUE"""),"Ruta 5 Alcones")</f>
        <v>Ruta 5 Alcones</v>
      </c>
      <c r="E1182" s="19" t="str">
        <f>IFERROR(__xludf.DUMMYFUNCTION("""COMPUTED_VALUE"""),"SITIO ASIGNADO")</f>
        <v>SITIO ASIGNADO</v>
      </c>
      <c r="F1182" s="19"/>
      <c r="G1182" s="19" t="str">
        <f>IFERROR(__xludf.DUMMYFUNCTION("""COMPUTED_VALUE"""),"x")</f>
        <v>x</v>
      </c>
      <c r="H1182" s="19" t="str">
        <f>IFERROR(__xludf.DUMMYFUNCTION("""COMPUTED_VALUE"""),"x")</f>
        <v>x</v>
      </c>
      <c r="I1182" s="19" t="str">
        <f>IFERROR(__xludf.DUMMYFUNCTION("""COMPUTED_VALUE"""),"x")</f>
        <v>x</v>
      </c>
      <c r="J1182" s="20" t="str">
        <f>IFERROR(__xludf.DUMMYFUNCTION("""COMPUTED_VALUE"""),"x")</f>
        <v>x</v>
      </c>
      <c r="K1182" s="19" t="str">
        <f>IFERROR(__xludf.DUMMYFUNCTION("""COMPUTED_VALUE"""),"x")</f>
        <v>x</v>
      </c>
      <c r="L1182" s="20" t="str">
        <f>IFERROR(__xludf.DUMMYFUNCTION("""COMPUTED_VALUE"""),"x")</f>
        <v>x</v>
      </c>
      <c r="M1182" s="19" t="str">
        <f>IFERROR(__xludf.DUMMYFUNCTION("""COMPUTED_VALUE"""),"PP")</f>
        <v>PP</v>
      </c>
      <c r="N1182" s="19" t="str">
        <f>IFERROR(__xludf.DUMMYFUNCTION("""COMPUTED_VALUE"""),"PRIORIDAD 1 Q3 2023 OCTUBRE")</f>
        <v>PRIORIDAD 1 Q3 2023 OCTUBRE</v>
      </c>
    </row>
    <row r="1183" ht="15.75" customHeight="1">
      <c r="A1183" s="19" t="str">
        <f>IFERROR(__xludf.DUMMYFUNCTION("""COMPUTED_VALUE"""),"AB_9627")</f>
        <v>AB_9627</v>
      </c>
      <c r="B1183" s="19" t="str">
        <f>IFERROR(__xludf.DUMMYFUNCTION("""COMPUTED_VALUE"""),"AB_9627_B")</f>
        <v>AB_9627_B</v>
      </c>
      <c r="C1183" s="19" t="str">
        <f>IFERROR(__xludf.DUMMYFUNCTION("""COMPUTED_VALUE"""),"CO9627")</f>
        <v>CO9627</v>
      </c>
      <c r="D1183" s="19" t="str">
        <f>IFERROR(__xludf.DUMMYFUNCTION("""COMPUTED_VALUE"""),"Cerro El Cobre")</f>
        <v>Cerro El Cobre</v>
      </c>
      <c r="E1183" s="19" t="str">
        <f>IFERROR(__xludf.DUMMYFUNCTION("""COMPUTED_VALUE"""),"SITIO PENDIENTE")</f>
        <v>SITIO PENDIENTE</v>
      </c>
      <c r="F1183" s="19"/>
      <c r="G1183" s="19" t="str">
        <f>IFERROR(__xludf.DUMMYFUNCTION("""COMPUTED_VALUE"""),"x")</f>
        <v>x</v>
      </c>
      <c r="H1183" s="19" t="str">
        <f>IFERROR(__xludf.DUMMYFUNCTION("""COMPUTED_VALUE"""),"x")</f>
        <v>x</v>
      </c>
      <c r="I1183" s="19" t="str">
        <f>IFERROR(__xludf.DUMMYFUNCTION("""COMPUTED_VALUE"""),"x")</f>
        <v>x</v>
      </c>
      <c r="J1183" s="20" t="str">
        <f>IFERROR(__xludf.DUMMYFUNCTION("""COMPUTED_VALUE"""),"x")</f>
        <v>x</v>
      </c>
      <c r="K1183" s="19" t="str">
        <f>IFERROR(__xludf.DUMMYFUNCTION("""COMPUTED_VALUE"""),"x")</f>
        <v>x</v>
      </c>
      <c r="L1183" s="20" t="str">
        <f>IFERROR(__xludf.DUMMYFUNCTION("""COMPUTED_VALUE"""),"x")</f>
        <v>x</v>
      </c>
      <c r="M1183" s="19" t="str">
        <f>IFERROR(__xludf.DUMMYFUNCTION("""COMPUTED_VALUE"""),"PP")</f>
        <v>PP</v>
      </c>
      <c r="N1183" s="19" t="str">
        <f>IFERROR(__xludf.DUMMYFUNCTION("""COMPUTED_VALUE"""),"PRIORIDAD 1 Q3 2023 OCTUBRE")</f>
        <v>PRIORIDAD 1 Q3 2023 OCTUBRE</v>
      </c>
    </row>
    <row r="1184" ht="15.75" customHeight="1">
      <c r="A1184" s="19" t="str">
        <f>IFERROR(__xludf.DUMMYFUNCTION("""COMPUTED_VALUE"""),"AB_10136")</f>
        <v>AB_10136</v>
      </c>
      <c r="B1184" s="19" t="str">
        <f>IFERROR(__xludf.DUMMYFUNCTION("""COMPUTED_VALUE"""),"AB_10136_B")</f>
        <v>AB_10136_B</v>
      </c>
      <c r="C1184" s="19" t="str">
        <f>IFERROR(__xludf.DUMMYFUNCTION("""COMPUTED_VALUE"""),"LL10136")</f>
        <v>LL10136</v>
      </c>
      <c r="D1184" s="19" t="str">
        <f>IFERROR(__xludf.DUMMYFUNCTION("""COMPUTED_VALUE"""),"Universidad Austral Pelluco")</f>
        <v>Universidad Austral Pelluco</v>
      </c>
      <c r="E1184" s="19" t="str">
        <f>IFERROR(__xludf.DUMMYFUNCTION("""COMPUTED_VALUE"""),"SITIO RFI")</f>
        <v>SITIO RFI</v>
      </c>
      <c r="F1184" s="19"/>
      <c r="G1184" s="19" t="str">
        <f>IFERROR(__xludf.DUMMYFUNCTION("""COMPUTED_VALUE"""),"x")</f>
        <v>x</v>
      </c>
      <c r="H1184" s="19" t="str">
        <f>IFERROR(__xludf.DUMMYFUNCTION("""COMPUTED_VALUE"""),"x")</f>
        <v>x</v>
      </c>
      <c r="I1184" s="19" t="str">
        <f>IFERROR(__xludf.DUMMYFUNCTION("""COMPUTED_VALUE"""),"x")</f>
        <v>x</v>
      </c>
      <c r="J1184" s="20" t="str">
        <f>IFERROR(__xludf.DUMMYFUNCTION("""COMPUTED_VALUE"""),"x")</f>
        <v>x</v>
      </c>
      <c r="K1184" s="19" t="str">
        <f>IFERROR(__xludf.DUMMYFUNCTION("""COMPUTED_VALUE"""),"x")</f>
        <v>x</v>
      </c>
      <c r="L1184" s="20" t="str">
        <f>IFERROR(__xludf.DUMMYFUNCTION("""COMPUTED_VALUE"""),"x")</f>
        <v>x</v>
      </c>
      <c r="M1184" s="19" t="str">
        <f>IFERROR(__xludf.DUMMYFUNCTION("""COMPUTED_VALUE"""),"PCM")</f>
        <v>PCM</v>
      </c>
      <c r="N1184" s="19" t="str">
        <f>IFERROR(__xludf.DUMMYFUNCTION("""COMPUTED_VALUE"""),"PRIORIDAD 1 Q3 2023 OCTUBRE")</f>
        <v>PRIORIDAD 1 Q3 2023 OCTUBRE</v>
      </c>
    </row>
    <row r="1185" ht="15.75" customHeight="1">
      <c r="A1185" s="19" t="str">
        <f>IFERROR(__xludf.DUMMYFUNCTION("""COMPUTED_VALUE"""),"AB_10268")</f>
        <v>AB_10268</v>
      </c>
      <c r="B1185" s="19" t="str">
        <f>IFERROR(__xludf.DUMMYFUNCTION("""COMPUTED_VALUE"""),"AB_10268_B")</f>
        <v>AB_10268_B</v>
      </c>
      <c r="C1185" s="19" t="str">
        <f>IFERROR(__xludf.DUMMYFUNCTION("""COMPUTED_VALUE"""),"LL10268")</f>
        <v>LL10268</v>
      </c>
      <c r="D1185" s="19" t="str">
        <f>IFERROR(__xludf.DUMMYFUNCTION("""COMPUTED_VALUE"""),"Chuyaquen")</f>
        <v>Chuyaquen</v>
      </c>
      <c r="E1185" s="19" t="str">
        <f>IFERROR(__xludf.DUMMYFUNCTION("""COMPUTED_VALUE"""),"SITIO RFI")</f>
        <v>SITIO RFI</v>
      </c>
      <c r="F1185" s="19"/>
      <c r="G1185" s="19" t="str">
        <f>IFERROR(__xludf.DUMMYFUNCTION("""COMPUTED_VALUE"""),"x")</f>
        <v>x</v>
      </c>
      <c r="H1185" s="19" t="str">
        <f>IFERROR(__xludf.DUMMYFUNCTION("""COMPUTED_VALUE"""),"x")</f>
        <v>x</v>
      </c>
      <c r="I1185" s="19" t="str">
        <f>IFERROR(__xludf.DUMMYFUNCTION("""COMPUTED_VALUE"""),"x")</f>
        <v>x</v>
      </c>
      <c r="J1185" s="20" t="str">
        <f>IFERROR(__xludf.DUMMYFUNCTION("""COMPUTED_VALUE"""),"x")</f>
        <v>x</v>
      </c>
      <c r="K1185" s="19" t="str">
        <f>IFERROR(__xludf.DUMMYFUNCTION("""COMPUTED_VALUE"""),"x")</f>
        <v>x</v>
      </c>
      <c r="L1185" s="20" t="str">
        <f>IFERROR(__xludf.DUMMYFUNCTION("""COMPUTED_VALUE"""),"x")</f>
        <v>x</v>
      </c>
      <c r="M1185" s="19" t="str">
        <f>IFERROR(__xludf.DUMMYFUNCTION("""COMPUTED_VALUE"""),"PCM")</f>
        <v>PCM</v>
      </c>
      <c r="N1185" s="19" t="str">
        <f>IFERROR(__xludf.DUMMYFUNCTION("""COMPUTED_VALUE"""),"PRIORIDAD 1 Q3 2023 OCTUBRE")</f>
        <v>PRIORIDAD 1 Q3 2023 OCTUBRE</v>
      </c>
    </row>
    <row r="1186" ht="15.75" customHeight="1">
      <c r="A1186" s="19" t="str">
        <f>IFERROR(__xludf.DUMMYFUNCTION("""COMPUTED_VALUE"""),"AB_10327")</f>
        <v>AB_10327</v>
      </c>
      <c r="B1186" s="19" t="str">
        <f>IFERROR(__xludf.DUMMYFUNCTION("""COMPUTED_VALUE"""),"AB_10327_C")</f>
        <v>AB_10327_C</v>
      </c>
      <c r="C1186" s="19" t="str">
        <f>IFERROR(__xludf.DUMMYFUNCTION("""COMPUTED_VALUE"""),"LL10327")</f>
        <v>LL10327</v>
      </c>
      <c r="D1186" s="19" t="str">
        <f>IFERROR(__xludf.DUMMYFUNCTION("""COMPUTED_VALUE"""),"U-30 San Pablo")</f>
        <v>U-30 San Pablo</v>
      </c>
      <c r="E1186" s="19" t="str">
        <f>IFERROR(__xludf.DUMMYFUNCTION("""COMPUTED_VALUE"""),"SITIO RFI")</f>
        <v>SITIO RFI</v>
      </c>
      <c r="F1186" s="19"/>
      <c r="G1186" s="19" t="str">
        <f>IFERROR(__xludf.DUMMYFUNCTION("""COMPUTED_VALUE"""),"x")</f>
        <v>x</v>
      </c>
      <c r="H1186" s="19" t="str">
        <f>IFERROR(__xludf.DUMMYFUNCTION("""COMPUTED_VALUE"""),"x")</f>
        <v>x</v>
      </c>
      <c r="I1186" s="19" t="str">
        <f>IFERROR(__xludf.DUMMYFUNCTION("""COMPUTED_VALUE"""),"x")</f>
        <v>x</v>
      </c>
      <c r="J1186" s="20" t="str">
        <f>IFERROR(__xludf.DUMMYFUNCTION("""COMPUTED_VALUE"""),"x")</f>
        <v>x</v>
      </c>
      <c r="K1186" s="19" t="str">
        <f>IFERROR(__xludf.DUMMYFUNCTION("""COMPUTED_VALUE"""),"x")</f>
        <v>x</v>
      </c>
      <c r="L1186" s="20" t="str">
        <f>IFERROR(__xludf.DUMMYFUNCTION("""COMPUTED_VALUE"""),"x")</f>
        <v>x</v>
      </c>
      <c r="M1186" s="19" t="str">
        <f>IFERROR(__xludf.DUMMYFUNCTION("""COMPUTED_VALUE"""),"PCM")</f>
        <v>PCM</v>
      </c>
      <c r="N1186" s="19" t="str">
        <f>IFERROR(__xludf.DUMMYFUNCTION("""COMPUTED_VALUE"""),"PRIORIDAD 1 Q3 2023 OCTUBRE")</f>
        <v>PRIORIDAD 1 Q3 2023 OCTUBRE</v>
      </c>
    </row>
    <row r="1187" ht="15.75" customHeight="1">
      <c r="A1187" s="19" t="str">
        <f>IFERROR(__xludf.DUMMYFUNCTION("""COMPUTED_VALUE"""),"AB_11302")</f>
        <v>AB_11302</v>
      </c>
      <c r="B1187" s="19" t="str">
        <f>IFERROR(__xludf.DUMMYFUNCTION("""COMPUTED_VALUE"""),"AB_11302_C")</f>
        <v>AB_11302_C</v>
      </c>
      <c r="C1187" s="19" t="str">
        <f>IFERROR(__xludf.DUMMYFUNCTION("""COMPUTED_VALUE"""),"LL11302")</f>
        <v>LL11302</v>
      </c>
      <c r="D1187" s="19" t="str">
        <f>IFERROR(__xludf.DUMMYFUNCTION("""COMPUTED_VALUE"""),"Condominio 2 Esteros Puerto Montt")</f>
        <v>Condominio 2 Esteros Puerto Montt</v>
      </c>
      <c r="E1187" s="19" t="str">
        <f>IFERROR(__xludf.DUMMYFUNCTION("""COMPUTED_VALUE"""),"SITIO RFI")</f>
        <v>SITIO RFI</v>
      </c>
      <c r="F1187" s="19"/>
      <c r="G1187" s="19" t="str">
        <f>IFERROR(__xludf.DUMMYFUNCTION("""COMPUTED_VALUE"""),"x")</f>
        <v>x</v>
      </c>
      <c r="H1187" s="19" t="str">
        <f>IFERROR(__xludf.DUMMYFUNCTION("""COMPUTED_VALUE"""),"x")</f>
        <v>x</v>
      </c>
      <c r="I1187" s="19" t="str">
        <f>IFERROR(__xludf.DUMMYFUNCTION("""COMPUTED_VALUE"""),"x")</f>
        <v>x</v>
      </c>
      <c r="J1187" s="20" t="str">
        <f>IFERROR(__xludf.DUMMYFUNCTION("""COMPUTED_VALUE"""),"x")</f>
        <v>x</v>
      </c>
      <c r="K1187" s="19" t="str">
        <f>IFERROR(__xludf.DUMMYFUNCTION("""COMPUTED_VALUE"""),"x")</f>
        <v>x</v>
      </c>
      <c r="L1187" s="20" t="str">
        <f>IFERROR(__xludf.DUMMYFUNCTION("""COMPUTED_VALUE"""),"x")</f>
        <v>x</v>
      </c>
      <c r="M1187" s="19" t="str">
        <f>IFERROR(__xludf.DUMMYFUNCTION("""COMPUTED_VALUE"""),"PCM_2")</f>
        <v>PCM_2</v>
      </c>
      <c r="N1187" s="19" t="str">
        <f>IFERROR(__xludf.DUMMYFUNCTION("""COMPUTED_VALUE"""),"PRIORIDAD 1 Q3 2023 OCTUBRE")</f>
        <v>PRIORIDAD 1 Q3 2023 OCTUBRE</v>
      </c>
    </row>
    <row r="1188" ht="15.75" customHeight="1">
      <c r="A1188" s="19" t="str">
        <f>IFERROR(__xludf.DUMMYFUNCTION("""COMPUTED_VALUE"""),"AB_1263")</f>
        <v>AB_1263</v>
      </c>
      <c r="B1188" s="19" t="str">
        <f>IFERROR(__xludf.DUMMYFUNCTION("""COMPUTED_VALUE"""),"AB_1263_B")</f>
        <v>AB_1263_B</v>
      </c>
      <c r="C1188" s="19" t="str">
        <f>IFERROR(__xludf.DUMMYFUNCTION("""COMPUTED_VALUE"""),"LL1263")</f>
        <v>LL1263</v>
      </c>
      <c r="D1188" s="19" t="str">
        <f>IFERROR(__xludf.DUMMYFUNCTION("""COMPUTED_VALUE"""),"Futaleufu")</f>
        <v>Futaleufu</v>
      </c>
      <c r="E1188" s="19" t="str">
        <f>IFERROR(__xludf.DUMMYFUNCTION("""COMPUTED_VALUE"""),"SITIO RFI")</f>
        <v>SITIO RFI</v>
      </c>
      <c r="F1188" s="19"/>
      <c r="G1188" s="19" t="str">
        <f>IFERROR(__xludf.DUMMYFUNCTION("""COMPUTED_VALUE"""),"x")</f>
        <v>x</v>
      </c>
      <c r="H1188" s="19" t="str">
        <f>IFERROR(__xludf.DUMMYFUNCTION("""COMPUTED_VALUE"""),"x")</f>
        <v>x</v>
      </c>
      <c r="I1188" s="19" t="str">
        <f>IFERROR(__xludf.DUMMYFUNCTION("""COMPUTED_VALUE"""),"x")</f>
        <v>x</v>
      </c>
      <c r="J1188" s="20" t="str">
        <f>IFERROR(__xludf.DUMMYFUNCTION("""COMPUTED_VALUE"""),"x")</f>
        <v>x</v>
      </c>
      <c r="K1188" s="19" t="str">
        <f>IFERROR(__xludf.DUMMYFUNCTION("""COMPUTED_VALUE"""),"x")</f>
        <v>x</v>
      </c>
      <c r="L1188" s="20" t="str">
        <f>IFERROR(__xludf.DUMMYFUNCTION("""COMPUTED_VALUE"""),"x")</f>
        <v>x</v>
      </c>
      <c r="M1188" s="19" t="str">
        <f>IFERROR(__xludf.DUMMYFUNCTION("""COMPUTED_VALUE"""),"PCM")</f>
        <v>PCM</v>
      </c>
      <c r="N1188" s="19" t="str">
        <f>IFERROR(__xludf.DUMMYFUNCTION("""COMPUTED_VALUE"""),"PRIORIDAD 1 Q3 2023 OCTUBRE")</f>
        <v>PRIORIDAD 1 Q3 2023 OCTUBRE</v>
      </c>
    </row>
    <row r="1189" ht="15.75" customHeight="1">
      <c r="A1189" s="19" t="str">
        <f>IFERROR(__xludf.DUMMYFUNCTION("""COMPUTED_VALUE"""),"AB_2651")</f>
        <v>AB_2651</v>
      </c>
      <c r="B1189" s="19" t="str">
        <f>IFERROR(__xludf.DUMMYFUNCTION("""COMPUTED_VALUE"""),"AB_2651_A")</f>
        <v>AB_2651_A</v>
      </c>
      <c r="C1189" s="19" t="str">
        <f>IFERROR(__xludf.DUMMYFUNCTION("""COMPUTED_VALUE"""),"LL2651")</f>
        <v>LL2651</v>
      </c>
      <c r="D1189" s="19" t="str">
        <f>IFERROR(__xludf.DUMMYFUNCTION("""COMPUTED_VALUE"""),"Ruta Osorno - Entrelagos")</f>
        <v>Ruta Osorno - Entrelagos</v>
      </c>
      <c r="E1189" s="19" t="str">
        <f>IFERROR(__xludf.DUMMYFUNCTION("""COMPUTED_VALUE"""),"SITIO RFI")</f>
        <v>SITIO RFI</v>
      </c>
      <c r="F1189" s="19"/>
      <c r="G1189" s="19" t="str">
        <f>IFERROR(__xludf.DUMMYFUNCTION("""COMPUTED_VALUE"""),"x")</f>
        <v>x</v>
      </c>
      <c r="H1189" s="19" t="str">
        <f>IFERROR(__xludf.DUMMYFUNCTION("""COMPUTED_VALUE"""),"x")</f>
        <v>x</v>
      </c>
      <c r="I1189" s="19" t="str">
        <f>IFERROR(__xludf.DUMMYFUNCTION("""COMPUTED_VALUE"""),"x")</f>
        <v>x</v>
      </c>
      <c r="J1189" s="20" t="str">
        <f>IFERROR(__xludf.DUMMYFUNCTION("""COMPUTED_VALUE"""),"x")</f>
        <v>x</v>
      </c>
      <c r="K1189" s="19" t="str">
        <f>IFERROR(__xludf.DUMMYFUNCTION("""COMPUTED_VALUE"""),"x")</f>
        <v>x</v>
      </c>
      <c r="L1189" s="20" t="str">
        <f>IFERROR(__xludf.DUMMYFUNCTION("""COMPUTED_VALUE"""),"x")</f>
        <v>x</v>
      </c>
      <c r="M1189" s="19" t="str">
        <f>IFERROR(__xludf.DUMMYFUNCTION("""COMPUTED_VALUE"""),"PCM")</f>
        <v>PCM</v>
      </c>
      <c r="N1189" s="19" t="str">
        <f>IFERROR(__xludf.DUMMYFUNCTION("""COMPUTED_VALUE"""),"PRIORIDAD 1 Q3 2023 OCTUBRE")</f>
        <v>PRIORIDAD 1 Q3 2023 OCTUBRE</v>
      </c>
    </row>
    <row r="1190" ht="15.75" customHeight="1">
      <c r="A1190" s="19" t="str">
        <f>IFERROR(__xludf.DUMMYFUNCTION("""COMPUTED_VALUE"""),"AB_3286")</f>
        <v>AB_3286</v>
      </c>
      <c r="B1190" s="19" t="str">
        <f>IFERROR(__xludf.DUMMYFUNCTION("""COMPUTED_VALUE"""),"AB_3286_C")</f>
        <v>AB_3286_C</v>
      </c>
      <c r="C1190" s="19" t="str">
        <f>IFERROR(__xludf.DUMMYFUNCTION("""COMPUTED_VALUE"""),"LL3286")</f>
        <v>LL3286</v>
      </c>
      <c r="D1190" s="19" t="str">
        <f>IFERROR(__xludf.DUMMYFUNCTION("""COMPUTED_VALUE"""),"Palena Poniente")</f>
        <v>Palena Poniente</v>
      </c>
      <c r="E1190" s="19" t="str">
        <f>IFERROR(__xludf.DUMMYFUNCTION("""COMPUTED_VALUE"""),"SITIO RFI")</f>
        <v>SITIO RFI</v>
      </c>
      <c r="F1190" s="19"/>
      <c r="G1190" s="19" t="str">
        <f>IFERROR(__xludf.DUMMYFUNCTION("""COMPUTED_VALUE"""),"x")</f>
        <v>x</v>
      </c>
      <c r="H1190" s="19" t="str">
        <f>IFERROR(__xludf.DUMMYFUNCTION("""COMPUTED_VALUE"""),"x")</f>
        <v>x</v>
      </c>
      <c r="I1190" s="19" t="str">
        <f>IFERROR(__xludf.DUMMYFUNCTION("""COMPUTED_VALUE"""),"x")</f>
        <v>x</v>
      </c>
      <c r="J1190" s="20" t="str">
        <f>IFERROR(__xludf.DUMMYFUNCTION("""COMPUTED_VALUE"""),"x")</f>
        <v>x</v>
      </c>
      <c r="K1190" s="19" t="str">
        <f>IFERROR(__xludf.DUMMYFUNCTION("""COMPUTED_VALUE"""),"x")</f>
        <v>x</v>
      </c>
      <c r="L1190" s="20" t="str">
        <f>IFERROR(__xludf.DUMMYFUNCTION("""COMPUTED_VALUE"""),"x")</f>
        <v>x</v>
      </c>
      <c r="M1190" s="19" t="str">
        <f>IFERROR(__xludf.DUMMYFUNCTION("""COMPUTED_VALUE"""),"PCM")</f>
        <v>PCM</v>
      </c>
      <c r="N1190" s="19" t="str">
        <f>IFERROR(__xludf.DUMMYFUNCTION("""COMPUTED_VALUE"""),"PRIORIDAD 1 Q3 2023 OCTUBRE")</f>
        <v>PRIORIDAD 1 Q3 2023 OCTUBRE</v>
      </c>
    </row>
    <row r="1191" ht="15.75" customHeight="1">
      <c r="A1191" s="19" t="str">
        <f>IFERROR(__xludf.DUMMYFUNCTION("""COMPUTED_VALUE"""),"AB_3348")</f>
        <v>AB_3348</v>
      </c>
      <c r="B1191" s="19" t="str">
        <f>IFERROR(__xludf.DUMMYFUNCTION("""COMPUTED_VALUE"""),"AB_3348_E")</f>
        <v>AB_3348_E</v>
      </c>
      <c r="C1191" s="19" t="str">
        <f>IFERROR(__xludf.DUMMYFUNCTION("""COMPUTED_VALUE"""),"LL3348")</f>
        <v>LL3348</v>
      </c>
      <c r="D1191" s="19" t="str">
        <f>IFERROR(__xludf.DUMMYFUNCTION("""COMPUTED_VALUE"""),"Los Helechos de Cucao")</f>
        <v>Los Helechos de Cucao</v>
      </c>
      <c r="E1191" s="19" t="str">
        <f>IFERROR(__xludf.DUMMYFUNCTION("""COMPUTED_VALUE"""),"SITIO RFI")</f>
        <v>SITIO RFI</v>
      </c>
      <c r="F1191" s="19"/>
      <c r="G1191" s="19" t="str">
        <f>IFERROR(__xludf.DUMMYFUNCTION("""COMPUTED_VALUE"""),"x")</f>
        <v>x</v>
      </c>
      <c r="H1191" s="19" t="str">
        <f>IFERROR(__xludf.DUMMYFUNCTION("""COMPUTED_VALUE"""),"x")</f>
        <v>x</v>
      </c>
      <c r="I1191" s="19" t="str">
        <f>IFERROR(__xludf.DUMMYFUNCTION("""COMPUTED_VALUE"""),"x")</f>
        <v>x</v>
      </c>
      <c r="J1191" s="20" t="str">
        <f>IFERROR(__xludf.DUMMYFUNCTION("""COMPUTED_VALUE"""),"x")</f>
        <v>x</v>
      </c>
      <c r="K1191" s="19" t="str">
        <f>IFERROR(__xludf.DUMMYFUNCTION("""COMPUTED_VALUE"""),"x")</f>
        <v>x</v>
      </c>
      <c r="L1191" s="20" t="str">
        <f>IFERROR(__xludf.DUMMYFUNCTION("""COMPUTED_VALUE"""),"x")</f>
        <v>x</v>
      </c>
      <c r="M1191" s="19" t="str">
        <f>IFERROR(__xludf.DUMMYFUNCTION("""COMPUTED_VALUE"""),"PCM")</f>
        <v>PCM</v>
      </c>
      <c r="N1191" s="19" t="str">
        <f>IFERROR(__xludf.DUMMYFUNCTION("""COMPUTED_VALUE"""),"PRIORIDAD 1 Q3 2023 OCTUBRE")</f>
        <v>PRIORIDAD 1 Q3 2023 OCTUBRE</v>
      </c>
    </row>
    <row r="1192" ht="15.75" customHeight="1">
      <c r="A1192" s="19" t="str">
        <f>IFERROR(__xludf.DUMMYFUNCTION("""COMPUTED_VALUE"""),"AB_3358")</f>
        <v>AB_3358</v>
      </c>
      <c r="B1192" s="19" t="str">
        <f>IFERROR(__xludf.DUMMYFUNCTION("""COMPUTED_VALUE"""),"AB_3358_A")</f>
        <v>AB_3358_A</v>
      </c>
      <c r="C1192" s="19" t="str">
        <f>IFERROR(__xludf.DUMMYFUNCTION("""COMPUTED_VALUE"""),"LL3358")</f>
        <v>LL3358</v>
      </c>
      <c r="D1192" s="19" t="str">
        <f>IFERROR(__xludf.DUMMYFUNCTION("""COMPUTED_VALUE"""),"Camino Pellines")</f>
        <v>Camino Pellines</v>
      </c>
      <c r="E1192" s="19" t="str">
        <f>IFERROR(__xludf.DUMMYFUNCTION("""COMPUTED_VALUE"""),"SITIO RFI")</f>
        <v>SITIO RFI</v>
      </c>
      <c r="F1192" s="19"/>
      <c r="G1192" s="19" t="str">
        <f>IFERROR(__xludf.DUMMYFUNCTION("""COMPUTED_VALUE"""),"x")</f>
        <v>x</v>
      </c>
      <c r="H1192" s="19" t="str">
        <f>IFERROR(__xludf.DUMMYFUNCTION("""COMPUTED_VALUE"""),"x")</f>
        <v>x</v>
      </c>
      <c r="I1192" s="19" t="str">
        <f>IFERROR(__xludf.DUMMYFUNCTION("""COMPUTED_VALUE"""),"x")</f>
        <v>x</v>
      </c>
      <c r="J1192" s="20" t="str">
        <f>IFERROR(__xludf.DUMMYFUNCTION("""COMPUTED_VALUE"""),"x")</f>
        <v>x</v>
      </c>
      <c r="K1192" s="19" t="str">
        <f>IFERROR(__xludf.DUMMYFUNCTION("""COMPUTED_VALUE"""),"x")</f>
        <v>x</v>
      </c>
      <c r="L1192" s="20" t="str">
        <f>IFERROR(__xludf.DUMMYFUNCTION("""COMPUTED_VALUE"""),"x")</f>
        <v>x</v>
      </c>
      <c r="M1192" s="19" t="str">
        <f>IFERROR(__xludf.DUMMYFUNCTION("""COMPUTED_VALUE"""),"PCM")</f>
        <v>PCM</v>
      </c>
      <c r="N1192" s="19" t="str">
        <f>IFERROR(__xludf.DUMMYFUNCTION("""COMPUTED_VALUE"""),"PRIORIDAD 1 Q3 2023 OCTUBRE")</f>
        <v>PRIORIDAD 1 Q3 2023 OCTUBRE</v>
      </c>
    </row>
    <row r="1193" ht="15.75" customHeight="1">
      <c r="A1193" s="19" t="str">
        <f>IFERROR(__xludf.DUMMYFUNCTION("""COMPUTED_VALUE"""),"AB_4368")</f>
        <v>AB_4368</v>
      </c>
      <c r="B1193" s="19" t="str">
        <f>IFERROR(__xludf.DUMMYFUNCTION("""COMPUTED_VALUE"""),"AB_4368_A")</f>
        <v>AB_4368_A</v>
      </c>
      <c r="C1193" s="19" t="str">
        <f>IFERROR(__xludf.DUMMYFUNCTION("""COMPUTED_VALUE"""),"LL4368")</f>
        <v>LL4368</v>
      </c>
      <c r="D1193" s="19" t="str">
        <f>IFERROR(__xludf.DUMMYFUNCTION("""COMPUTED_VALUE"""),"San Antonio Quellon")</f>
        <v>San Antonio Quellon</v>
      </c>
      <c r="E1193" s="19" t="str">
        <f>IFERROR(__xludf.DUMMYFUNCTION("""COMPUTED_VALUE"""),"DETENIDO TORRERO")</f>
        <v>DETENIDO TORRERO</v>
      </c>
      <c r="F1193" s="19"/>
      <c r="G1193" s="19" t="str">
        <f>IFERROR(__xludf.DUMMYFUNCTION("""COMPUTED_VALUE"""),"x")</f>
        <v>x</v>
      </c>
      <c r="H1193" s="19" t="str">
        <f>IFERROR(__xludf.DUMMYFUNCTION("""COMPUTED_VALUE"""),"x")</f>
        <v>x</v>
      </c>
      <c r="I1193" s="19" t="str">
        <f>IFERROR(__xludf.DUMMYFUNCTION("""COMPUTED_VALUE"""),"x")</f>
        <v>x</v>
      </c>
      <c r="J1193" s="20" t="str">
        <f>IFERROR(__xludf.DUMMYFUNCTION("""COMPUTED_VALUE"""),"x")</f>
        <v>x</v>
      </c>
      <c r="K1193" s="19" t="str">
        <f>IFERROR(__xludf.DUMMYFUNCTION("""COMPUTED_VALUE"""),"x")</f>
        <v>x</v>
      </c>
      <c r="L1193" s="20" t="str">
        <f>IFERROR(__xludf.DUMMYFUNCTION("""COMPUTED_VALUE"""),"x")</f>
        <v>x</v>
      </c>
      <c r="M1193" s="19" t="str">
        <f>IFERROR(__xludf.DUMMYFUNCTION("""COMPUTED_VALUE"""),"PP")</f>
        <v>PP</v>
      </c>
      <c r="N1193" s="19" t="str">
        <f>IFERROR(__xludf.DUMMYFUNCTION("""COMPUTED_VALUE"""),"PRIORIDAD 1 Q3 2023 OCTUBRE")</f>
        <v>PRIORIDAD 1 Q3 2023 OCTUBRE</v>
      </c>
    </row>
    <row r="1194" ht="15.75" customHeight="1">
      <c r="A1194" s="19" t="str">
        <f>IFERROR(__xludf.DUMMYFUNCTION("""COMPUTED_VALUE"""),"AB_6336")</f>
        <v>AB_6336</v>
      </c>
      <c r="B1194" s="19" t="str">
        <f>IFERROR(__xludf.DUMMYFUNCTION("""COMPUTED_VALUE"""),"AB_6336_C")</f>
        <v>AB_6336_C</v>
      </c>
      <c r="C1194" s="19" t="str">
        <f>IFERROR(__xludf.DUMMYFUNCTION("""COMPUTED_VALUE"""),"LL6336")</f>
        <v>LL6336</v>
      </c>
      <c r="D1194" s="19" t="str">
        <f>IFERROR(__xludf.DUMMYFUNCTION("""COMPUTED_VALUE"""),"El Pulpito Chonchi")</f>
        <v>El Pulpito Chonchi</v>
      </c>
      <c r="E1194" s="19" t="str">
        <f>IFERROR(__xludf.DUMMYFUNCTION("""COMPUTED_VALUE"""),"SITIO RFC")</f>
        <v>SITIO RFC</v>
      </c>
      <c r="F1194" s="19"/>
      <c r="G1194" s="19" t="str">
        <f>IFERROR(__xludf.DUMMYFUNCTION("""COMPUTED_VALUE"""),"x")</f>
        <v>x</v>
      </c>
      <c r="H1194" s="19" t="str">
        <f>IFERROR(__xludf.DUMMYFUNCTION("""COMPUTED_VALUE"""),"x")</f>
        <v>x</v>
      </c>
      <c r="I1194" s="19" t="str">
        <f>IFERROR(__xludf.DUMMYFUNCTION("""COMPUTED_VALUE"""),"x")</f>
        <v>x</v>
      </c>
      <c r="J1194" s="20" t="str">
        <f>IFERROR(__xludf.DUMMYFUNCTION("""COMPUTED_VALUE"""),"x")</f>
        <v>x</v>
      </c>
      <c r="K1194" s="19" t="str">
        <f>IFERROR(__xludf.DUMMYFUNCTION("""COMPUTED_VALUE"""),"x")</f>
        <v>x</v>
      </c>
      <c r="L1194" s="20" t="str">
        <f>IFERROR(__xludf.DUMMYFUNCTION("""COMPUTED_VALUE"""),"x")</f>
        <v>x</v>
      </c>
      <c r="M1194" s="19" t="str">
        <f>IFERROR(__xludf.DUMMYFUNCTION("""COMPUTED_VALUE"""),"PP")</f>
        <v>PP</v>
      </c>
      <c r="N1194" s="19" t="str">
        <f>IFERROR(__xludf.DUMMYFUNCTION("""COMPUTED_VALUE"""),"PRIORIDAD 1 Q3 2023 OCTUBRE")</f>
        <v>PRIORIDAD 1 Q3 2023 OCTUBRE</v>
      </c>
    </row>
    <row r="1195" ht="15.75" customHeight="1">
      <c r="A1195" s="19" t="str">
        <f>IFERROR(__xludf.DUMMYFUNCTION("""COMPUTED_VALUE"""),"AB_8130")</f>
        <v>AB_8130</v>
      </c>
      <c r="B1195" s="19" t="str">
        <f>IFERROR(__xludf.DUMMYFUNCTION("""COMPUTED_VALUE"""),"AB_8130_D")</f>
        <v>AB_8130_D</v>
      </c>
      <c r="C1195" s="19" t="str">
        <f>IFERROR(__xludf.DUMMYFUNCTION("""COMPUTED_VALUE"""),"LL8130")</f>
        <v>LL8130</v>
      </c>
      <c r="D1195" s="19" t="str">
        <f>IFERROR(__xludf.DUMMYFUNCTION("""COMPUTED_VALUE"""),"Palqui")</f>
        <v>Palqui</v>
      </c>
      <c r="E1195" s="19" t="str">
        <f>IFERROR(__xludf.DUMMYFUNCTION("""COMPUTED_VALUE"""),"SITIO RFI")</f>
        <v>SITIO RFI</v>
      </c>
      <c r="F1195" s="19"/>
      <c r="G1195" s="19" t="str">
        <f>IFERROR(__xludf.DUMMYFUNCTION("""COMPUTED_VALUE"""),"x")</f>
        <v>x</v>
      </c>
      <c r="H1195" s="19" t="str">
        <f>IFERROR(__xludf.DUMMYFUNCTION("""COMPUTED_VALUE"""),"x")</f>
        <v>x</v>
      </c>
      <c r="I1195" s="19" t="str">
        <f>IFERROR(__xludf.DUMMYFUNCTION("""COMPUTED_VALUE"""),"x")</f>
        <v>x</v>
      </c>
      <c r="J1195" s="20" t="str">
        <f>IFERROR(__xludf.DUMMYFUNCTION("""COMPUTED_VALUE"""),"x")</f>
        <v>x</v>
      </c>
      <c r="K1195" s="19" t="str">
        <f>IFERROR(__xludf.DUMMYFUNCTION("""COMPUTED_VALUE"""),"x")</f>
        <v>x</v>
      </c>
      <c r="L1195" s="20" t="str">
        <f>IFERROR(__xludf.DUMMYFUNCTION("""COMPUTED_VALUE"""),"x")</f>
        <v>x</v>
      </c>
      <c r="M1195" s="19" t="str">
        <f>IFERROR(__xludf.DUMMYFUNCTION("""COMPUTED_VALUE"""),"PCM")</f>
        <v>PCM</v>
      </c>
      <c r="N1195" s="19" t="str">
        <f>IFERROR(__xludf.DUMMYFUNCTION("""COMPUTED_VALUE"""),"PRIORIDAD 1 Q3 2023 OCTUBRE")</f>
        <v>PRIORIDAD 1 Q3 2023 OCTUBRE</v>
      </c>
    </row>
    <row r="1196" ht="15.75" customHeight="1">
      <c r="A1196" s="19" t="str">
        <f>IFERROR(__xludf.DUMMYFUNCTION("""COMPUTED_VALUE"""),"AB_8139")</f>
        <v>AB_8139</v>
      </c>
      <c r="B1196" s="19" t="str">
        <f>IFERROR(__xludf.DUMMYFUNCTION("""COMPUTED_VALUE"""),"AB_8139_A")</f>
        <v>AB_8139_A</v>
      </c>
      <c r="C1196" s="19" t="str">
        <f>IFERROR(__xludf.DUMMYFUNCTION("""COMPUTED_VALUE"""),"LL8139")</f>
        <v>LL8139</v>
      </c>
      <c r="D1196" s="19" t="str">
        <f>IFERROR(__xludf.DUMMYFUNCTION("""COMPUTED_VALUE"""),"Puchilco")</f>
        <v>Puchilco</v>
      </c>
      <c r="E1196" s="19" t="str">
        <f>IFERROR(__xludf.DUMMYFUNCTION("""COMPUTED_VALUE"""),"SITIO RFI")</f>
        <v>SITIO RFI</v>
      </c>
      <c r="F1196" s="19"/>
      <c r="G1196" s="19" t="str">
        <f>IFERROR(__xludf.DUMMYFUNCTION("""COMPUTED_VALUE"""),"x")</f>
        <v>x</v>
      </c>
      <c r="H1196" s="19" t="str">
        <f>IFERROR(__xludf.DUMMYFUNCTION("""COMPUTED_VALUE"""),"x")</f>
        <v>x</v>
      </c>
      <c r="I1196" s="19" t="str">
        <f>IFERROR(__xludf.DUMMYFUNCTION("""COMPUTED_VALUE"""),"x")</f>
        <v>x</v>
      </c>
      <c r="J1196" s="20" t="str">
        <f>IFERROR(__xludf.DUMMYFUNCTION("""COMPUTED_VALUE"""),"x")</f>
        <v>x</v>
      </c>
      <c r="K1196" s="19" t="str">
        <f>IFERROR(__xludf.DUMMYFUNCTION("""COMPUTED_VALUE"""),"x")</f>
        <v>x</v>
      </c>
      <c r="L1196" s="20" t="str">
        <f>IFERROR(__xludf.DUMMYFUNCTION("""COMPUTED_VALUE"""),"x")</f>
        <v>x</v>
      </c>
      <c r="M1196" s="19" t="str">
        <f>IFERROR(__xludf.DUMMYFUNCTION("""COMPUTED_VALUE"""),"PCM")</f>
        <v>PCM</v>
      </c>
      <c r="N1196" s="19" t="str">
        <f>IFERROR(__xludf.DUMMYFUNCTION("""COMPUTED_VALUE"""),"PRIORIDAD 1 Q3 2023 OCTUBRE")</f>
        <v>PRIORIDAD 1 Q3 2023 OCTUBRE</v>
      </c>
    </row>
    <row r="1197" ht="15.75" customHeight="1">
      <c r="A1197" s="19" t="str">
        <f>IFERROR(__xludf.DUMMYFUNCTION("""COMPUTED_VALUE"""),"AB_9429")</f>
        <v>AB_9429</v>
      </c>
      <c r="B1197" s="19" t="str">
        <f>IFERROR(__xludf.DUMMYFUNCTION("""COMPUTED_VALUE"""),"AB_9429_A")</f>
        <v>AB_9429_A</v>
      </c>
      <c r="C1197" s="19" t="str">
        <f>IFERROR(__xludf.DUMMYFUNCTION("""COMPUTED_VALUE"""),"LL9429")</f>
        <v>LL9429</v>
      </c>
      <c r="D1197" s="19" t="str">
        <f>IFERROR(__xludf.DUMMYFUNCTION("""COMPUTED_VALUE"""),"Casa de Lata")</f>
        <v>Casa de Lata</v>
      </c>
      <c r="E1197" s="19" t="str">
        <f>IFERROR(__xludf.DUMMYFUNCTION("""COMPUTED_VALUE"""),"SITIO RFI")</f>
        <v>SITIO RFI</v>
      </c>
      <c r="F1197" s="19"/>
      <c r="G1197" s="19" t="str">
        <f>IFERROR(__xludf.DUMMYFUNCTION("""COMPUTED_VALUE"""),"x")</f>
        <v>x</v>
      </c>
      <c r="H1197" s="19" t="str">
        <f>IFERROR(__xludf.DUMMYFUNCTION("""COMPUTED_VALUE"""),"x")</f>
        <v>x</v>
      </c>
      <c r="I1197" s="19" t="str">
        <f>IFERROR(__xludf.DUMMYFUNCTION("""COMPUTED_VALUE"""),"x")</f>
        <v>x</v>
      </c>
      <c r="J1197" s="20" t="str">
        <f>IFERROR(__xludf.DUMMYFUNCTION("""COMPUTED_VALUE"""),"x")</f>
        <v>x</v>
      </c>
      <c r="K1197" s="19" t="str">
        <f>IFERROR(__xludf.DUMMYFUNCTION("""COMPUTED_VALUE"""),"x")</f>
        <v>x</v>
      </c>
      <c r="L1197" s="20" t="str">
        <f>IFERROR(__xludf.DUMMYFUNCTION("""COMPUTED_VALUE"""),"x")</f>
        <v>x</v>
      </c>
      <c r="M1197" s="19" t="str">
        <f>IFERROR(__xludf.DUMMYFUNCTION("""COMPUTED_VALUE"""),"LLOO")</f>
        <v>LLOO</v>
      </c>
      <c r="N1197" s="19" t="str">
        <f>IFERROR(__xludf.DUMMYFUNCTION("""COMPUTED_VALUE"""),"PRIORIDAD 1 Q3 2023 OCTUBRE")</f>
        <v>PRIORIDAD 1 Q3 2023 OCTUBRE</v>
      </c>
    </row>
    <row r="1198" ht="15.75" customHeight="1">
      <c r="A1198" s="19" t="str">
        <f>IFERROR(__xludf.DUMMYFUNCTION("""COMPUTED_VALUE"""),"AB_9432")</f>
        <v>AB_9432</v>
      </c>
      <c r="B1198" s="19" t="str">
        <f>IFERROR(__xludf.DUMMYFUNCTION("""COMPUTED_VALUE"""),"AB_9432_A")</f>
        <v>AB_9432_A</v>
      </c>
      <c r="C1198" s="19" t="str">
        <f>IFERROR(__xludf.DUMMYFUNCTION("""COMPUTED_VALUE"""),"LL9432")</f>
        <v>LL9432</v>
      </c>
      <c r="D1198" s="19" t="str">
        <f>IFERROR(__xludf.DUMMYFUNCTION("""COMPUTED_VALUE"""),"Huillinco Ancud")</f>
        <v>Huillinco Ancud</v>
      </c>
      <c r="E1198" s="19" t="str">
        <f>IFERROR(__xludf.DUMMYFUNCTION("""COMPUTED_VALUE"""),"SITIO ASIGNADO")</f>
        <v>SITIO ASIGNADO</v>
      </c>
      <c r="F1198" s="19"/>
      <c r="G1198" s="19" t="str">
        <f>IFERROR(__xludf.DUMMYFUNCTION("""COMPUTED_VALUE"""),"x")</f>
        <v>x</v>
      </c>
      <c r="H1198" s="19" t="str">
        <f>IFERROR(__xludf.DUMMYFUNCTION("""COMPUTED_VALUE"""),"x")</f>
        <v>x</v>
      </c>
      <c r="I1198" s="19" t="str">
        <f>IFERROR(__xludf.DUMMYFUNCTION("""COMPUTED_VALUE"""),"x")</f>
        <v>x</v>
      </c>
      <c r="J1198" s="20" t="str">
        <f>IFERROR(__xludf.DUMMYFUNCTION("""COMPUTED_VALUE"""),"x")</f>
        <v>x</v>
      </c>
      <c r="K1198" s="19" t="str">
        <f>IFERROR(__xludf.DUMMYFUNCTION("""COMPUTED_VALUE"""),"x")</f>
        <v>x</v>
      </c>
      <c r="L1198" s="20" t="str">
        <f>IFERROR(__xludf.DUMMYFUNCTION("""COMPUTED_VALUE"""),"x")</f>
        <v>x</v>
      </c>
      <c r="M1198" s="19" t="str">
        <f>IFERROR(__xludf.DUMMYFUNCTION("""COMPUTED_VALUE"""),"PP")</f>
        <v>PP</v>
      </c>
      <c r="N1198" s="19" t="str">
        <f>IFERROR(__xludf.DUMMYFUNCTION("""COMPUTED_VALUE"""),"PRIORIDAD 1 Q3 2023 OCTUBRE")</f>
        <v>PRIORIDAD 1 Q3 2023 OCTUBRE</v>
      </c>
    </row>
    <row r="1199" ht="15.75" customHeight="1">
      <c r="A1199" s="19" t="str">
        <f>IFERROR(__xludf.DUMMYFUNCTION("""COMPUTED_VALUE"""),"AB_9433")</f>
        <v>AB_9433</v>
      </c>
      <c r="B1199" s="19" t="str">
        <f>IFERROR(__xludf.DUMMYFUNCTION("""COMPUTED_VALUE"""),"AB_9433_D")</f>
        <v>AB_9433_D</v>
      </c>
      <c r="C1199" s="19" t="str">
        <f>IFERROR(__xludf.DUMMYFUNCTION("""COMPUTED_VALUE"""),"LL9433")</f>
        <v>LL9433</v>
      </c>
      <c r="D1199" s="19" t="str">
        <f>IFERROR(__xludf.DUMMYFUNCTION("""COMPUTED_VALUE"""),"Caracoles Ancud")</f>
        <v>Caracoles Ancud</v>
      </c>
      <c r="E1199" s="19" t="str">
        <f>IFERROR(__xludf.DUMMYFUNCTION("""COMPUTED_VALUE"""),"SITIO RFC")</f>
        <v>SITIO RFC</v>
      </c>
      <c r="F1199" s="19"/>
      <c r="G1199" s="19" t="str">
        <f>IFERROR(__xludf.DUMMYFUNCTION("""COMPUTED_VALUE"""),"x")</f>
        <v>x</v>
      </c>
      <c r="H1199" s="19" t="str">
        <f>IFERROR(__xludf.DUMMYFUNCTION("""COMPUTED_VALUE"""),"x")</f>
        <v>x</v>
      </c>
      <c r="I1199" s="19" t="str">
        <f>IFERROR(__xludf.DUMMYFUNCTION("""COMPUTED_VALUE"""),"x")</f>
        <v>x</v>
      </c>
      <c r="J1199" s="20" t="str">
        <f>IFERROR(__xludf.DUMMYFUNCTION("""COMPUTED_VALUE"""),"x")</f>
        <v>x</v>
      </c>
      <c r="K1199" s="19" t="str">
        <f>IFERROR(__xludf.DUMMYFUNCTION("""COMPUTED_VALUE"""),"x")</f>
        <v>x</v>
      </c>
      <c r="L1199" s="20" t="str">
        <f>IFERROR(__xludf.DUMMYFUNCTION("""COMPUTED_VALUE"""),"x")</f>
        <v>x</v>
      </c>
      <c r="M1199" s="19" t="str">
        <f>IFERROR(__xludf.DUMMYFUNCTION("""COMPUTED_VALUE"""),"PP")</f>
        <v>PP</v>
      </c>
      <c r="N1199" s="19" t="str">
        <f>IFERROR(__xludf.DUMMYFUNCTION("""COMPUTED_VALUE"""),"PRIORIDAD 1 Q3 2023 OCTUBRE")</f>
        <v>PRIORIDAD 1 Q3 2023 OCTUBRE</v>
      </c>
    </row>
    <row r="1200" ht="15.75" customHeight="1">
      <c r="A1200" s="19" t="str">
        <f>IFERROR(__xludf.DUMMYFUNCTION("""COMPUTED_VALUE"""),"AB_9434")</f>
        <v>AB_9434</v>
      </c>
      <c r="B1200" s="19" t="str">
        <f>IFERROR(__xludf.DUMMYFUNCTION("""COMPUTED_VALUE"""),"AB_9434_A")</f>
        <v>AB_9434_A</v>
      </c>
      <c r="C1200" s="19" t="str">
        <f>IFERROR(__xludf.DUMMYFUNCTION("""COMPUTED_VALUE"""),"LL9434")</f>
        <v>LL9434</v>
      </c>
      <c r="D1200" s="19" t="str">
        <f>IFERROR(__xludf.DUMMYFUNCTION("""COMPUTED_VALUE"""),"Ruta 5 Estero Coipomo")</f>
        <v>Ruta 5 Estero Coipomo</v>
      </c>
      <c r="E1200" s="19" t="str">
        <f>IFERROR(__xludf.DUMMYFUNCTION("""COMPUTED_VALUE"""),"SITIO RFI")</f>
        <v>SITIO RFI</v>
      </c>
      <c r="F1200" s="19"/>
      <c r="G1200" s="19" t="str">
        <f>IFERROR(__xludf.DUMMYFUNCTION("""COMPUTED_VALUE"""),"x")</f>
        <v>x</v>
      </c>
      <c r="H1200" s="19" t="str">
        <f>IFERROR(__xludf.DUMMYFUNCTION("""COMPUTED_VALUE"""),"x")</f>
        <v>x</v>
      </c>
      <c r="I1200" s="19" t="str">
        <f>IFERROR(__xludf.DUMMYFUNCTION("""COMPUTED_VALUE"""),"x")</f>
        <v>x</v>
      </c>
      <c r="J1200" s="20" t="str">
        <f>IFERROR(__xludf.DUMMYFUNCTION("""COMPUTED_VALUE"""),"x")</f>
        <v>x</v>
      </c>
      <c r="K1200" s="19" t="str">
        <f>IFERROR(__xludf.DUMMYFUNCTION("""COMPUTED_VALUE"""),"x")</f>
        <v>x</v>
      </c>
      <c r="L1200" s="20" t="str">
        <f>IFERROR(__xludf.DUMMYFUNCTION("""COMPUTED_VALUE"""),"x")</f>
        <v>x</v>
      </c>
      <c r="M1200" s="19" t="str">
        <f>IFERROR(__xludf.DUMMYFUNCTION("""COMPUTED_VALUE"""),"PP")</f>
        <v>PP</v>
      </c>
      <c r="N1200" s="19" t="str">
        <f>IFERROR(__xludf.DUMMYFUNCTION("""COMPUTED_VALUE"""),"PRIORIDAD 1 Q3 2023 OCTUBRE")</f>
        <v>PRIORIDAD 1 Q3 2023 OCTUBRE</v>
      </c>
    </row>
    <row r="1201" ht="15.75" customHeight="1">
      <c r="A1201" s="19" t="str">
        <f>IFERROR(__xludf.DUMMYFUNCTION("""COMPUTED_VALUE"""),"AB_9435")</f>
        <v>AB_9435</v>
      </c>
      <c r="B1201" s="19" t="str">
        <f>IFERROR(__xludf.DUMMYFUNCTION("""COMPUTED_VALUE"""),"AB_9435_C")</f>
        <v>AB_9435_C</v>
      </c>
      <c r="C1201" s="19" t="str">
        <f>IFERROR(__xludf.DUMMYFUNCTION("""COMPUTED_VALUE"""),"LL9435")</f>
        <v>LL9435</v>
      </c>
      <c r="D1201" s="19" t="str">
        <f>IFERROR(__xludf.DUMMYFUNCTION("""COMPUTED_VALUE"""),"Ruta 5 El Palomar")</f>
        <v>Ruta 5 El Palomar</v>
      </c>
      <c r="E1201" s="19" t="str">
        <f>IFERROR(__xludf.DUMMYFUNCTION("""COMPUTED_VALUE"""),"SITIO ASIGNADO")</f>
        <v>SITIO ASIGNADO</v>
      </c>
      <c r="F1201" s="19"/>
      <c r="G1201" s="19" t="str">
        <f>IFERROR(__xludf.DUMMYFUNCTION("""COMPUTED_VALUE"""),"x")</f>
        <v>x</v>
      </c>
      <c r="H1201" s="19" t="str">
        <f>IFERROR(__xludf.DUMMYFUNCTION("""COMPUTED_VALUE"""),"x")</f>
        <v>x</v>
      </c>
      <c r="I1201" s="19" t="str">
        <f>IFERROR(__xludf.DUMMYFUNCTION("""COMPUTED_VALUE"""),"x")</f>
        <v>x</v>
      </c>
      <c r="J1201" s="20" t="str">
        <f>IFERROR(__xludf.DUMMYFUNCTION("""COMPUTED_VALUE"""),"x")</f>
        <v>x</v>
      </c>
      <c r="K1201" s="19" t="str">
        <f>IFERROR(__xludf.DUMMYFUNCTION("""COMPUTED_VALUE"""),"x")</f>
        <v>x</v>
      </c>
      <c r="L1201" s="20" t="str">
        <f>IFERROR(__xludf.DUMMYFUNCTION("""COMPUTED_VALUE"""),"x")</f>
        <v>x</v>
      </c>
      <c r="M1201" s="19" t="str">
        <f>IFERROR(__xludf.DUMMYFUNCTION("""COMPUTED_VALUE"""),"PP")</f>
        <v>PP</v>
      </c>
      <c r="N1201" s="19" t="str">
        <f>IFERROR(__xludf.DUMMYFUNCTION("""COMPUTED_VALUE"""),"PRIORIDAD 1 Q3 2023 OCTUBRE")</f>
        <v>PRIORIDAD 1 Q3 2023 OCTUBRE</v>
      </c>
    </row>
    <row r="1202" ht="15.75" customHeight="1">
      <c r="A1202" s="19" t="str">
        <f>IFERROR(__xludf.DUMMYFUNCTION("""COMPUTED_VALUE"""),"AB_9436")</f>
        <v>AB_9436</v>
      </c>
      <c r="B1202" s="19" t="str">
        <f>IFERROR(__xludf.DUMMYFUNCTION("""COMPUTED_VALUE"""),"AB_9436_A")</f>
        <v>AB_9436_A</v>
      </c>
      <c r="C1202" s="19" t="str">
        <f>IFERROR(__xludf.DUMMYFUNCTION("""COMPUTED_VALUE"""),"LL9436")</f>
        <v>LL9436</v>
      </c>
      <c r="D1202" s="19" t="str">
        <f>IFERROR(__xludf.DUMMYFUNCTION("""COMPUTED_VALUE"""),"Ruta 5 Degan")</f>
        <v>Ruta 5 Degan</v>
      </c>
      <c r="E1202" s="19" t="str">
        <f>IFERROR(__xludf.DUMMYFUNCTION("""COMPUTED_VALUE"""),"SITIO RFC")</f>
        <v>SITIO RFC</v>
      </c>
      <c r="F1202" s="19"/>
      <c r="G1202" s="19" t="str">
        <f>IFERROR(__xludf.DUMMYFUNCTION("""COMPUTED_VALUE"""),"x")</f>
        <v>x</v>
      </c>
      <c r="H1202" s="19" t="str">
        <f>IFERROR(__xludf.DUMMYFUNCTION("""COMPUTED_VALUE"""),"x")</f>
        <v>x</v>
      </c>
      <c r="I1202" s="19" t="str">
        <f>IFERROR(__xludf.DUMMYFUNCTION("""COMPUTED_VALUE"""),"x")</f>
        <v>x</v>
      </c>
      <c r="J1202" s="20" t="str">
        <f>IFERROR(__xludf.DUMMYFUNCTION("""COMPUTED_VALUE"""),"x")</f>
        <v>x</v>
      </c>
      <c r="K1202" s="19" t="str">
        <f>IFERROR(__xludf.DUMMYFUNCTION("""COMPUTED_VALUE"""),"x")</f>
        <v>x</v>
      </c>
      <c r="L1202" s="20" t="str">
        <f>IFERROR(__xludf.DUMMYFUNCTION("""COMPUTED_VALUE"""),"x")</f>
        <v>x</v>
      </c>
      <c r="M1202" s="19" t="str">
        <f>IFERROR(__xludf.DUMMYFUNCTION("""COMPUTED_VALUE"""),"PP")</f>
        <v>PP</v>
      </c>
      <c r="N1202" s="19" t="str">
        <f>IFERROR(__xludf.DUMMYFUNCTION("""COMPUTED_VALUE"""),"PRIORIDAD 1 Q3 2023 OCTUBRE")</f>
        <v>PRIORIDAD 1 Q3 2023 OCTUBRE</v>
      </c>
    </row>
    <row r="1203" ht="15.75" customHeight="1">
      <c r="A1203" s="19" t="str">
        <f>IFERROR(__xludf.DUMMYFUNCTION("""COMPUTED_VALUE"""),"AB_9640")</f>
        <v>AB_9640</v>
      </c>
      <c r="B1203" s="19" t="str">
        <f>IFERROR(__xludf.DUMMYFUNCTION("""COMPUTED_VALUE"""),"AB_9640_B")</f>
        <v>AB_9640_B</v>
      </c>
      <c r="C1203" s="19" t="str">
        <f>IFERROR(__xludf.DUMMYFUNCTION("""COMPUTED_VALUE"""),"LL9640")</f>
        <v>LL9640</v>
      </c>
      <c r="D1203" s="19" t="str">
        <f>IFERROR(__xludf.DUMMYFUNCTION("""COMPUTED_VALUE"""),"Isla Quenac")</f>
        <v>Isla Quenac</v>
      </c>
      <c r="E1203" s="19" t="str">
        <f>IFERROR(__xludf.DUMMYFUNCTION("""COMPUTED_VALUE"""),"SITIO RFI")</f>
        <v>SITIO RFI</v>
      </c>
      <c r="F1203" s="19"/>
      <c r="G1203" s="19" t="str">
        <f>IFERROR(__xludf.DUMMYFUNCTION("""COMPUTED_VALUE"""),"x")</f>
        <v>x</v>
      </c>
      <c r="H1203" s="19" t="str">
        <f>IFERROR(__xludf.DUMMYFUNCTION("""COMPUTED_VALUE"""),"x")</f>
        <v>x</v>
      </c>
      <c r="I1203" s="19" t="str">
        <f>IFERROR(__xludf.DUMMYFUNCTION("""COMPUTED_VALUE"""),"x")</f>
        <v>x</v>
      </c>
      <c r="J1203" s="20" t="str">
        <f>IFERROR(__xludf.DUMMYFUNCTION("""COMPUTED_VALUE"""),"x")</f>
        <v>x</v>
      </c>
      <c r="K1203" s="19" t="str">
        <f>IFERROR(__xludf.DUMMYFUNCTION("""COMPUTED_VALUE"""),"x")</f>
        <v>x</v>
      </c>
      <c r="L1203" s="20" t="str">
        <f>IFERROR(__xludf.DUMMYFUNCTION("""COMPUTED_VALUE"""),"x")</f>
        <v>x</v>
      </c>
      <c r="M1203" s="19" t="str">
        <f>IFERROR(__xludf.DUMMYFUNCTION("""COMPUTED_VALUE"""),"PCM")</f>
        <v>PCM</v>
      </c>
      <c r="N1203" s="19" t="str">
        <f>IFERROR(__xludf.DUMMYFUNCTION("""COMPUTED_VALUE"""),"PRIORIDAD 1 Q3 2023 OCTUBRE")</f>
        <v>PRIORIDAD 1 Q3 2023 OCTUBRE</v>
      </c>
    </row>
    <row r="1204" ht="15.75" customHeight="1">
      <c r="A1204" s="19" t="str">
        <f>IFERROR(__xludf.DUMMYFUNCTION("""COMPUTED_VALUE"""),"AB_9641")</f>
        <v>AB_9641</v>
      </c>
      <c r="B1204" s="19" t="str">
        <f>IFERROR(__xludf.DUMMYFUNCTION("""COMPUTED_VALUE"""),"AB_9641_B")</f>
        <v>AB_9641_B</v>
      </c>
      <c r="C1204" s="19" t="str">
        <f>IFERROR(__xludf.DUMMYFUNCTION("""COMPUTED_VALUE"""),"LL9641")</f>
        <v>LL9641</v>
      </c>
      <c r="D1204" s="19" t="str">
        <f>IFERROR(__xludf.DUMMYFUNCTION("""COMPUTED_VALUE"""),"Ruta 5 Lago Tarahuin")</f>
        <v>Ruta 5 Lago Tarahuin</v>
      </c>
      <c r="E1204" s="19" t="str">
        <f>IFERROR(__xludf.DUMMYFUNCTION("""COMPUTED_VALUE"""),"SITIO RFC")</f>
        <v>SITIO RFC</v>
      </c>
      <c r="F1204" s="19"/>
      <c r="G1204" s="19" t="str">
        <f>IFERROR(__xludf.DUMMYFUNCTION("""COMPUTED_VALUE"""),"x")</f>
        <v>x</v>
      </c>
      <c r="H1204" s="19" t="str">
        <f>IFERROR(__xludf.DUMMYFUNCTION("""COMPUTED_VALUE"""),"x")</f>
        <v>x</v>
      </c>
      <c r="I1204" s="19" t="str">
        <f>IFERROR(__xludf.DUMMYFUNCTION("""COMPUTED_VALUE"""),"x")</f>
        <v>x</v>
      </c>
      <c r="J1204" s="20" t="str">
        <f>IFERROR(__xludf.DUMMYFUNCTION("""COMPUTED_VALUE"""),"x")</f>
        <v>x</v>
      </c>
      <c r="K1204" s="19" t="str">
        <f>IFERROR(__xludf.DUMMYFUNCTION("""COMPUTED_VALUE"""),"x")</f>
        <v>x</v>
      </c>
      <c r="L1204" s="20" t="str">
        <f>IFERROR(__xludf.DUMMYFUNCTION("""COMPUTED_VALUE"""),"x")</f>
        <v>x</v>
      </c>
      <c r="M1204" s="19" t="str">
        <f>IFERROR(__xludf.DUMMYFUNCTION("""COMPUTED_VALUE"""),"PP")</f>
        <v>PP</v>
      </c>
      <c r="N1204" s="19" t="str">
        <f>IFERROR(__xludf.DUMMYFUNCTION("""COMPUTED_VALUE"""),"PRIORIDAD 1 Q3 2023 OCTUBRE")</f>
        <v>PRIORIDAD 1 Q3 2023 OCTUBRE</v>
      </c>
    </row>
    <row r="1205" ht="15.75" customHeight="1">
      <c r="A1205" s="19" t="str">
        <f>IFERROR(__xludf.DUMMYFUNCTION("""COMPUTED_VALUE"""),"AB_9653")</f>
        <v>AB_9653</v>
      </c>
      <c r="B1205" s="19" t="str">
        <f>IFERROR(__xludf.DUMMYFUNCTION("""COMPUTED_VALUE"""),"AB_9653_A")</f>
        <v>AB_9653_A</v>
      </c>
      <c r="C1205" s="19" t="str">
        <f>IFERROR(__xludf.DUMMYFUNCTION("""COMPUTED_VALUE"""),"LL9653")</f>
        <v>LL9653</v>
      </c>
      <c r="D1205" s="19" t="str">
        <f>IFERROR(__xludf.DUMMYFUNCTION("""COMPUTED_VALUE"""),"Isla Alao")</f>
        <v>Isla Alao</v>
      </c>
      <c r="E1205" s="19" t="str">
        <f>IFERROR(__xludf.DUMMYFUNCTION("""COMPUTED_VALUE"""),"SITIO RFI")</f>
        <v>SITIO RFI</v>
      </c>
      <c r="F1205" s="19"/>
      <c r="G1205" s="19" t="str">
        <f>IFERROR(__xludf.DUMMYFUNCTION("""COMPUTED_VALUE"""),"x")</f>
        <v>x</v>
      </c>
      <c r="H1205" s="19" t="str">
        <f>IFERROR(__xludf.DUMMYFUNCTION("""COMPUTED_VALUE"""),"x")</f>
        <v>x</v>
      </c>
      <c r="I1205" s="19" t="str">
        <f>IFERROR(__xludf.DUMMYFUNCTION("""COMPUTED_VALUE"""),"x")</f>
        <v>x</v>
      </c>
      <c r="J1205" s="20" t="str">
        <f>IFERROR(__xludf.DUMMYFUNCTION("""COMPUTED_VALUE"""),"x")</f>
        <v>x</v>
      </c>
      <c r="K1205" s="19" t="str">
        <f>IFERROR(__xludf.DUMMYFUNCTION("""COMPUTED_VALUE"""),"x")</f>
        <v>x</v>
      </c>
      <c r="L1205" s="20" t="str">
        <f>IFERROR(__xludf.DUMMYFUNCTION("""COMPUTED_VALUE"""),"x")</f>
        <v>x</v>
      </c>
      <c r="M1205" s="19" t="str">
        <f>IFERROR(__xludf.DUMMYFUNCTION("""COMPUTED_VALUE"""),"PCM")</f>
        <v>PCM</v>
      </c>
      <c r="N1205" s="19" t="str">
        <f>IFERROR(__xludf.DUMMYFUNCTION("""COMPUTED_VALUE"""),"PRIORIDAD 1 Q3 2023 OCTUBRE")</f>
        <v>PRIORIDAD 1 Q3 2023 OCTUBRE</v>
      </c>
    </row>
    <row r="1206" ht="15.75" customHeight="1">
      <c r="A1206" s="19" t="str">
        <f>IFERROR(__xludf.DUMMYFUNCTION("""COMPUTED_VALUE"""),"AB_9669")</f>
        <v>AB_9669</v>
      </c>
      <c r="B1206" s="19" t="str">
        <f>IFERROR(__xludf.DUMMYFUNCTION("""COMPUTED_VALUE"""),"AB_9669_A")</f>
        <v>AB_9669_A</v>
      </c>
      <c r="C1206" s="19" t="str">
        <f>IFERROR(__xludf.DUMMYFUNCTION("""COMPUTED_VALUE"""),"LL9669")</f>
        <v>LL9669</v>
      </c>
      <c r="D1206" s="19" t="str">
        <f>IFERROR(__xludf.DUMMYFUNCTION("""COMPUTED_VALUE"""),"Ruta W-969")</f>
        <v>Ruta W-969</v>
      </c>
      <c r="E1206" s="19" t="str">
        <f>IFERROR(__xludf.DUMMYFUNCTION("""COMPUTED_VALUE"""),"SITIO RFC")</f>
        <v>SITIO RFC</v>
      </c>
      <c r="F1206" s="19"/>
      <c r="G1206" s="19" t="str">
        <f>IFERROR(__xludf.DUMMYFUNCTION("""COMPUTED_VALUE"""),"x")</f>
        <v>x</v>
      </c>
      <c r="H1206" s="19" t="str">
        <f>IFERROR(__xludf.DUMMYFUNCTION("""COMPUTED_VALUE"""),"x")</f>
        <v>x</v>
      </c>
      <c r="I1206" s="19" t="str">
        <f>IFERROR(__xludf.DUMMYFUNCTION("""COMPUTED_VALUE"""),"x")</f>
        <v>x</v>
      </c>
      <c r="J1206" s="20" t="str">
        <f>IFERROR(__xludf.DUMMYFUNCTION("""COMPUTED_VALUE"""),"x")</f>
        <v>x</v>
      </c>
      <c r="K1206" s="19" t="str">
        <f>IFERROR(__xludf.DUMMYFUNCTION("""COMPUTED_VALUE"""),"x")</f>
        <v>x</v>
      </c>
      <c r="L1206" s="20" t="str">
        <f>IFERROR(__xludf.DUMMYFUNCTION("""COMPUTED_VALUE"""),"x")</f>
        <v>x</v>
      </c>
      <c r="M1206" s="19" t="str">
        <f>IFERROR(__xludf.DUMMYFUNCTION("""COMPUTED_VALUE"""),"PCM")</f>
        <v>PCM</v>
      </c>
      <c r="N1206" s="19" t="str">
        <f>IFERROR(__xludf.DUMMYFUNCTION("""COMPUTED_VALUE"""),"PRIORIDAD 1 Q3 2023 OCTUBRE")</f>
        <v>PRIORIDAD 1 Q3 2023 OCTUBRE</v>
      </c>
    </row>
    <row r="1207" ht="15.75" customHeight="1">
      <c r="A1207" s="19" t="str">
        <f>IFERROR(__xludf.DUMMYFUNCTION("""COMPUTED_VALUE"""),"AB_9898")</f>
        <v>AB_9898</v>
      </c>
      <c r="B1207" s="19" t="str">
        <f>IFERROR(__xludf.DUMMYFUNCTION("""COMPUTED_VALUE"""),"AB_9898_A")</f>
        <v>AB_9898_A</v>
      </c>
      <c r="C1207" s="19" t="str">
        <f>IFERROR(__xludf.DUMMYFUNCTION("""COMPUTED_VALUE"""),"LL9898")</f>
        <v>LL9898</v>
      </c>
      <c r="D1207" s="19" t="str">
        <f>IFERROR(__xludf.DUMMYFUNCTION("""COMPUTED_VALUE"""),"LLOO Trocomo")</f>
        <v>LLOO Trocomo</v>
      </c>
      <c r="E1207" s="19" t="str">
        <f>IFERROR(__xludf.DUMMYFUNCTION("""COMPUTED_VALUE"""),"SITIO RFI")</f>
        <v>SITIO RFI</v>
      </c>
      <c r="F1207" s="19"/>
      <c r="G1207" s="19" t="str">
        <f>IFERROR(__xludf.DUMMYFUNCTION("""COMPUTED_VALUE"""),"x")</f>
        <v>x</v>
      </c>
      <c r="H1207" s="19" t="str">
        <f>IFERROR(__xludf.DUMMYFUNCTION("""COMPUTED_VALUE"""),"x")</f>
        <v>x</v>
      </c>
      <c r="I1207" s="19" t="str">
        <f>IFERROR(__xludf.DUMMYFUNCTION("""COMPUTED_VALUE"""),"x")</f>
        <v>x</v>
      </c>
      <c r="J1207" s="20" t="str">
        <f>IFERROR(__xludf.DUMMYFUNCTION("""COMPUTED_VALUE"""),"x")</f>
        <v>x</v>
      </c>
      <c r="K1207" s="19" t="str">
        <f>IFERROR(__xludf.DUMMYFUNCTION("""COMPUTED_VALUE"""),"x")</f>
        <v>x</v>
      </c>
      <c r="L1207" s="20" t="str">
        <f>IFERROR(__xludf.DUMMYFUNCTION("""COMPUTED_VALUE"""),"x")</f>
        <v>x</v>
      </c>
      <c r="M1207" s="19" t="str">
        <f>IFERROR(__xludf.DUMMYFUNCTION("""COMPUTED_VALUE"""),"LLOO")</f>
        <v>LLOO</v>
      </c>
      <c r="N1207" s="19" t="str">
        <f>IFERROR(__xludf.DUMMYFUNCTION("""COMPUTED_VALUE"""),"PRIORIDAD 1 Q3 2023 OCTUBRE")</f>
        <v>PRIORIDAD 1 Q3 2023 OCTUBRE</v>
      </c>
    </row>
    <row r="1208" ht="15.75" customHeight="1">
      <c r="A1208" s="19" t="str">
        <f>IFERROR(__xludf.DUMMYFUNCTION("""COMPUTED_VALUE"""),"AB_9907")</f>
        <v>AB_9907</v>
      </c>
      <c r="B1208" s="19" t="str">
        <f>IFERROR(__xludf.DUMMYFUNCTION("""COMPUTED_VALUE"""),"AB_9907_B")</f>
        <v>AB_9907_B</v>
      </c>
      <c r="C1208" s="19" t="str">
        <f>IFERROR(__xludf.DUMMYFUNCTION("""COMPUTED_VALUE"""),"LL9907")</f>
        <v>LL9907</v>
      </c>
      <c r="D1208" s="19" t="str">
        <f>IFERROR(__xludf.DUMMYFUNCTION("""COMPUTED_VALUE"""),"LLOO Tres Cumbres")</f>
        <v>LLOO Tres Cumbres</v>
      </c>
      <c r="E1208" s="19" t="str">
        <f>IFERROR(__xludf.DUMMYFUNCTION("""COMPUTED_VALUE"""),"SITIO RFI")</f>
        <v>SITIO RFI</v>
      </c>
      <c r="F1208" s="19"/>
      <c r="G1208" s="19" t="str">
        <f>IFERROR(__xludf.DUMMYFUNCTION("""COMPUTED_VALUE"""),"x")</f>
        <v>x</v>
      </c>
      <c r="H1208" s="19" t="str">
        <f>IFERROR(__xludf.DUMMYFUNCTION("""COMPUTED_VALUE"""),"x")</f>
        <v>x</v>
      </c>
      <c r="I1208" s="19" t="str">
        <f>IFERROR(__xludf.DUMMYFUNCTION("""COMPUTED_VALUE"""),"x")</f>
        <v>x</v>
      </c>
      <c r="J1208" s="20" t="str">
        <f>IFERROR(__xludf.DUMMYFUNCTION("""COMPUTED_VALUE"""),"x")</f>
        <v>x</v>
      </c>
      <c r="K1208" s="19" t="str">
        <f>IFERROR(__xludf.DUMMYFUNCTION("""COMPUTED_VALUE"""),"x")</f>
        <v>x</v>
      </c>
      <c r="L1208" s="20" t="str">
        <f>IFERROR(__xludf.DUMMYFUNCTION("""COMPUTED_VALUE"""),"x")</f>
        <v>x</v>
      </c>
      <c r="M1208" s="19" t="str">
        <f>IFERROR(__xludf.DUMMYFUNCTION("""COMPUTED_VALUE"""),"LLOO")</f>
        <v>LLOO</v>
      </c>
      <c r="N1208" s="19" t="str">
        <f>IFERROR(__xludf.DUMMYFUNCTION("""COMPUTED_VALUE"""),"PRIORIDAD 1 Q3 2023 OCTUBRE")</f>
        <v>PRIORIDAD 1 Q3 2023 OCTUBRE</v>
      </c>
    </row>
    <row r="1209" ht="15.75" customHeight="1">
      <c r="A1209" s="19" t="str">
        <f>IFERROR(__xludf.DUMMYFUNCTION("""COMPUTED_VALUE"""),"AB_10256")</f>
        <v>AB_10256</v>
      </c>
      <c r="B1209" s="19" t="str">
        <f>IFERROR(__xludf.DUMMYFUNCTION("""COMPUTED_VALUE"""),"AB_10256_A")</f>
        <v>AB_10256_A</v>
      </c>
      <c r="C1209" s="19" t="str">
        <f>IFERROR(__xludf.DUMMYFUNCTION("""COMPUTED_VALUE"""),"LR10256")</f>
        <v>LR10256</v>
      </c>
      <c r="D1209" s="19" t="str">
        <f>IFERROR(__xludf.DUMMYFUNCTION("""COMPUTED_VALUE"""),"Draguipulli")</f>
        <v>Draguipulli</v>
      </c>
      <c r="E1209" s="19" t="str">
        <f>IFERROR(__xludf.DUMMYFUNCTION("""COMPUTED_VALUE"""),"SITIO RFI")</f>
        <v>SITIO RFI</v>
      </c>
      <c r="F1209" s="19"/>
      <c r="G1209" s="19" t="str">
        <f>IFERROR(__xludf.DUMMYFUNCTION("""COMPUTED_VALUE"""),"x")</f>
        <v>x</v>
      </c>
      <c r="H1209" s="19" t="str">
        <f>IFERROR(__xludf.DUMMYFUNCTION("""COMPUTED_VALUE"""),"x")</f>
        <v>x</v>
      </c>
      <c r="I1209" s="19" t="str">
        <f>IFERROR(__xludf.DUMMYFUNCTION("""COMPUTED_VALUE"""),"x")</f>
        <v>x</v>
      </c>
      <c r="J1209" s="20" t="str">
        <f>IFERROR(__xludf.DUMMYFUNCTION("""COMPUTED_VALUE"""),"x")</f>
        <v>x</v>
      </c>
      <c r="K1209" s="19" t="str">
        <f>IFERROR(__xludf.DUMMYFUNCTION("""COMPUTED_VALUE"""),"x")</f>
        <v>x</v>
      </c>
      <c r="L1209" s="20" t="str">
        <f>IFERROR(__xludf.DUMMYFUNCTION("""COMPUTED_VALUE"""),"x")</f>
        <v>x</v>
      </c>
      <c r="M1209" s="19" t="str">
        <f>IFERROR(__xludf.DUMMYFUNCTION("""COMPUTED_VALUE"""),"PCM")</f>
        <v>PCM</v>
      </c>
      <c r="N1209" s="19" t="str">
        <f>IFERROR(__xludf.DUMMYFUNCTION("""COMPUTED_VALUE"""),"PRIORIDAD 1 Q3 2023 OCTUBRE")</f>
        <v>PRIORIDAD 1 Q3 2023 OCTUBRE</v>
      </c>
    </row>
    <row r="1210" ht="15.75" customHeight="1">
      <c r="A1210" s="19" t="str">
        <f>IFERROR(__xludf.DUMMYFUNCTION("""COMPUTED_VALUE"""),"AB_10329")</f>
        <v>AB_10329</v>
      </c>
      <c r="B1210" s="19" t="str">
        <f>IFERROR(__xludf.DUMMYFUNCTION("""COMPUTED_VALUE"""),"AB_10329_A")</f>
        <v>AB_10329_A</v>
      </c>
      <c r="C1210" s="19" t="str">
        <f>IFERROR(__xludf.DUMMYFUNCTION("""COMPUTED_VALUE"""),"LR10329")</f>
        <v>LR10329</v>
      </c>
      <c r="D1210" s="19" t="str">
        <f>IFERROR(__xludf.DUMMYFUNCTION("""COMPUTED_VALUE"""),"Catrilelfu Corral")</f>
        <v>Catrilelfu Corral</v>
      </c>
      <c r="E1210" s="19" t="str">
        <f>IFERROR(__xludf.DUMMYFUNCTION("""COMPUTED_VALUE"""),"SITIO RFI")</f>
        <v>SITIO RFI</v>
      </c>
      <c r="F1210" s="19"/>
      <c r="G1210" s="19" t="str">
        <f>IFERROR(__xludf.DUMMYFUNCTION("""COMPUTED_VALUE"""),"x")</f>
        <v>x</v>
      </c>
      <c r="H1210" s="19" t="str">
        <f>IFERROR(__xludf.DUMMYFUNCTION("""COMPUTED_VALUE"""),"x")</f>
        <v>x</v>
      </c>
      <c r="I1210" s="19" t="str">
        <f>IFERROR(__xludf.DUMMYFUNCTION("""COMPUTED_VALUE"""),"x")</f>
        <v>x</v>
      </c>
      <c r="J1210" s="20" t="str">
        <f>IFERROR(__xludf.DUMMYFUNCTION("""COMPUTED_VALUE"""),"x")</f>
        <v>x</v>
      </c>
      <c r="K1210" s="19" t="str">
        <f>IFERROR(__xludf.DUMMYFUNCTION("""COMPUTED_VALUE"""),"x")</f>
        <v>x</v>
      </c>
      <c r="L1210" s="20" t="str">
        <f>IFERROR(__xludf.DUMMYFUNCTION("""COMPUTED_VALUE"""),"x")</f>
        <v>x</v>
      </c>
      <c r="M1210" s="19" t="str">
        <f>IFERROR(__xludf.DUMMYFUNCTION("""COMPUTED_VALUE"""),"PCM")</f>
        <v>PCM</v>
      </c>
      <c r="N1210" s="19" t="str">
        <f>IFERROR(__xludf.DUMMYFUNCTION("""COMPUTED_VALUE"""),"PRIORIDAD 1 Q3 2023 OCTUBRE")</f>
        <v>PRIORIDAD 1 Q3 2023 OCTUBRE</v>
      </c>
    </row>
    <row r="1211" ht="15.75" customHeight="1">
      <c r="A1211" s="19" t="str">
        <f>IFERROR(__xludf.DUMMYFUNCTION("""COMPUTED_VALUE"""),"AB_1046")</f>
        <v>AB_1046</v>
      </c>
      <c r="B1211" s="19" t="str">
        <f>IFERROR(__xludf.DUMMYFUNCTION("""COMPUTED_VALUE"""),"AB_1046_C")</f>
        <v>AB_1046_C</v>
      </c>
      <c r="C1211" s="19" t="str">
        <f>IFERROR(__xludf.DUMMYFUNCTION("""COMPUTED_VALUE"""),"LR1046")</f>
        <v>LR1046</v>
      </c>
      <c r="D1211" s="19" t="str">
        <f>IFERROR(__xludf.DUMMYFUNCTION("""COMPUTED_VALUE"""),"Argelia")</f>
        <v>Argelia</v>
      </c>
      <c r="E1211" s="19" t="str">
        <f>IFERROR(__xludf.DUMMYFUNCTION("""COMPUTED_VALUE"""),"SITIO RFI")</f>
        <v>SITIO RFI</v>
      </c>
      <c r="F1211" s="19"/>
      <c r="G1211" s="19" t="str">
        <f>IFERROR(__xludf.DUMMYFUNCTION("""COMPUTED_VALUE"""),"x")</f>
        <v>x</v>
      </c>
      <c r="H1211" s="19" t="str">
        <f>IFERROR(__xludf.DUMMYFUNCTION("""COMPUTED_VALUE"""),"x")</f>
        <v>x</v>
      </c>
      <c r="I1211" s="19" t="str">
        <f>IFERROR(__xludf.DUMMYFUNCTION("""COMPUTED_VALUE"""),"x")</f>
        <v>x</v>
      </c>
      <c r="J1211" s="20" t="str">
        <f>IFERROR(__xludf.DUMMYFUNCTION("""COMPUTED_VALUE"""),"x")</f>
        <v>x</v>
      </c>
      <c r="K1211" s="19" t="str">
        <f>IFERROR(__xludf.DUMMYFUNCTION("""COMPUTED_VALUE"""),"x")</f>
        <v>x</v>
      </c>
      <c r="L1211" s="20" t="str">
        <f>IFERROR(__xludf.DUMMYFUNCTION("""COMPUTED_VALUE"""),"x")</f>
        <v>x</v>
      </c>
      <c r="M1211" s="19" t="str">
        <f>IFERROR(__xludf.DUMMYFUNCTION("""COMPUTED_VALUE"""),"PCM")</f>
        <v>PCM</v>
      </c>
      <c r="N1211" s="19" t="str">
        <f>IFERROR(__xludf.DUMMYFUNCTION("""COMPUTED_VALUE"""),"PRIORIDAD 1 Q3 2023 OCTUBRE")</f>
        <v>PRIORIDAD 1 Q3 2023 OCTUBRE</v>
      </c>
    </row>
    <row r="1212" ht="15.75" customHeight="1">
      <c r="A1212" s="19" t="str">
        <f>IFERROR(__xludf.DUMMYFUNCTION("""COMPUTED_VALUE"""),"AB_11318")</f>
        <v>AB_11318</v>
      </c>
      <c r="B1212" s="19" t="str">
        <f>IFERROR(__xludf.DUMMYFUNCTION("""COMPUTED_VALUE"""),"AB_11318_A")</f>
        <v>AB_11318_A</v>
      </c>
      <c r="C1212" s="19" t="str">
        <f>IFERROR(__xludf.DUMMYFUNCTION("""COMPUTED_VALUE"""),"LR11318")</f>
        <v>LR11318</v>
      </c>
      <c r="D1212" s="19" t="str">
        <f>IFERROR(__xludf.DUMMYFUNCTION("""COMPUTED_VALUE"""),"Ruta Los Lagos Futrono")</f>
        <v>Ruta Los Lagos Futrono</v>
      </c>
      <c r="E1212" s="19" t="str">
        <f>IFERROR(__xludf.DUMMYFUNCTION("""COMPUTED_VALUE"""),"SITIO RFI")</f>
        <v>SITIO RFI</v>
      </c>
      <c r="F1212" s="19"/>
      <c r="G1212" s="19" t="str">
        <f>IFERROR(__xludf.DUMMYFUNCTION("""COMPUTED_VALUE"""),"x")</f>
        <v>x</v>
      </c>
      <c r="H1212" s="19" t="str">
        <f>IFERROR(__xludf.DUMMYFUNCTION("""COMPUTED_VALUE"""),"x")</f>
        <v>x</v>
      </c>
      <c r="I1212" s="19" t="str">
        <f>IFERROR(__xludf.DUMMYFUNCTION("""COMPUTED_VALUE"""),"x")</f>
        <v>x</v>
      </c>
      <c r="J1212" s="20" t="str">
        <f>IFERROR(__xludf.DUMMYFUNCTION("""COMPUTED_VALUE"""),"x")</f>
        <v>x</v>
      </c>
      <c r="K1212" s="19" t="str">
        <f>IFERROR(__xludf.DUMMYFUNCTION("""COMPUTED_VALUE"""),"x")</f>
        <v>x</v>
      </c>
      <c r="L1212" s="20" t="str">
        <f>IFERROR(__xludf.DUMMYFUNCTION("""COMPUTED_VALUE"""),"x")</f>
        <v>x</v>
      </c>
      <c r="M1212" s="19" t="str">
        <f>IFERROR(__xludf.DUMMYFUNCTION("""COMPUTED_VALUE"""),"PCM")</f>
        <v>PCM</v>
      </c>
      <c r="N1212" s="19" t="str">
        <f>IFERROR(__xludf.DUMMYFUNCTION("""COMPUTED_VALUE"""),"PRIORIDAD 1 Q3 2023 OCTUBRE")</f>
        <v>PRIORIDAD 1 Q3 2023 OCTUBRE</v>
      </c>
    </row>
    <row r="1213" ht="15.75" customHeight="1">
      <c r="A1213" s="19" t="str">
        <f>IFERROR(__xludf.DUMMYFUNCTION("""COMPUTED_VALUE"""),"AB_11320")</f>
        <v>AB_11320</v>
      </c>
      <c r="B1213" s="19" t="str">
        <f>IFERROR(__xludf.DUMMYFUNCTION("""COMPUTED_VALUE"""),"AB_11320_A")</f>
        <v>AB_11320_A</v>
      </c>
      <c r="C1213" s="19" t="str">
        <f>IFERROR(__xludf.DUMMYFUNCTION("""COMPUTED_VALUE"""),"LR11320")</f>
        <v>LR11320</v>
      </c>
      <c r="D1213" s="19" t="str">
        <f>IFERROR(__xludf.DUMMYFUNCTION("""COMPUTED_VALUE"""),"Litran")</f>
        <v>Litran</v>
      </c>
      <c r="E1213" s="19" t="str">
        <f>IFERROR(__xludf.DUMMYFUNCTION("""COMPUTED_VALUE"""),"SITIO RFI")</f>
        <v>SITIO RFI</v>
      </c>
      <c r="F1213" s="19"/>
      <c r="G1213" s="19" t="str">
        <f>IFERROR(__xludf.DUMMYFUNCTION("""COMPUTED_VALUE"""),"x")</f>
        <v>x</v>
      </c>
      <c r="H1213" s="19" t="str">
        <f>IFERROR(__xludf.DUMMYFUNCTION("""COMPUTED_VALUE"""),"x")</f>
        <v>x</v>
      </c>
      <c r="I1213" s="19" t="str">
        <f>IFERROR(__xludf.DUMMYFUNCTION("""COMPUTED_VALUE"""),"x")</f>
        <v>x</v>
      </c>
      <c r="J1213" s="20" t="str">
        <f>IFERROR(__xludf.DUMMYFUNCTION("""COMPUTED_VALUE"""),"x")</f>
        <v>x</v>
      </c>
      <c r="K1213" s="19" t="str">
        <f>IFERROR(__xludf.DUMMYFUNCTION("""COMPUTED_VALUE"""),"x")</f>
        <v>x</v>
      </c>
      <c r="L1213" s="20" t="str">
        <f>IFERROR(__xludf.DUMMYFUNCTION("""COMPUTED_VALUE"""),"x")</f>
        <v>x</v>
      </c>
      <c r="M1213" s="19" t="str">
        <f>IFERROR(__xludf.DUMMYFUNCTION("""COMPUTED_VALUE"""),"PCM_2")</f>
        <v>PCM_2</v>
      </c>
      <c r="N1213" s="19" t="str">
        <f>IFERROR(__xludf.DUMMYFUNCTION("""COMPUTED_VALUE"""),"PRIORIDAD 1 Q3 2023 OCTUBRE")</f>
        <v>PRIORIDAD 1 Q3 2023 OCTUBRE</v>
      </c>
    </row>
    <row r="1214" ht="15.75" customHeight="1">
      <c r="A1214" s="19" t="str">
        <f>IFERROR(__xludf.DUMMYFUNCTION("""COMPUTED_VALUE"""),"AB_11360")</f>
        <v>AB_11360</v>
      </c>
      <c r="B1214" s="19" t="str">
        <f>IFERROR(__xludf.DUMMYFUNCTION("""COMPUTED_VALUE"""),"AB_11360_A")</f>
        <v>AB_11360_A</v>
      </c>
      <c r="C1214" s="19" t="str">
        <f>IFERROR(__xludf.DUMMYFUNCTION("""COMPUTED_VALUE"""),"LR11360")</f>
        <v>LR11360</v>
      </c>
      <c r="D1214" s="19" t="str">
        <f>IFERROR(__xludf.DUMMYFUNCTION("""COMPUTED_VALUE"""),"Millahue RU1")</f>
        <v>Millahue RU1</v>
      </c>
      <c r="E1214" s="19" t="str">
        <f>IFERROR(__xludf.DUMMYFUNCTION("""COMPUTED_VALUE"""),"SITIO RFI")</f>
        <v>SITIO RFI</v>
      </c>
      <c r="F1214" s="19"/>
      <c r="G1214" s="19" t="str">
        <f>IFERROR(__xludf.DUMMYFUNCTION("""COMPUTED_VALUE"""),"x")</f>
        <v>x</v>
      </c>
      <c r="H1214" s="19" t="str">
        <f>IFERROR(__xludf.DUMMYFUNCTION("""COMPUTED_VALUE"""),"x")</f>
        <v>x</v>
      </c>
      <c r="I1214" s="19" t="str">
        <f>IFERROR(__xludf.DUMMYFUNCTION("""COMPUTED_VALUE"""),"x")</f>
        <v>x</v>
      </c>
      <c r="J1214" s="20" t="str">
        <f>IFERROR(__xludf.DUMMYFUNCTION("""COMPUTED_VALUE"""),"x")</f>
        <v>x</v>
      </c>
      <c r="K1214" s="19" t="str">
        <f>IFERROR(__xludf.DUMMYFUNCTION("""COMPUTED_VALUE"""),"x")</f>
        <v>x</v>
      </c>
      <c r="L1214" s="20" t="str">
        <f>IFERROR(__xludf.DUMMYFUNCTION("""COMPUTED_VALUE"""),"x")</f>
        <v>x</v>
      </c>
      <c r="M1214" s="19" t="str">
        <f>IFERROR(__xludf.DUMMYFUNCTION("""COMPUTED_VALUE"""),"PCM_4")</f>
        <v>PCM_4</v>
      </c>
      <c r="N1214" s="19" t="str">
        <f>IFERROR(__xludf.DUMMYFUNCTION("""COMPUTED_VALUE"""),"PRIORIDAD 3 Q1 2024 MARZO")</f>
        <v>PRIORIDAD 3 Q1 2024 MARZO</v>
      </c>
    </row>
    <row r="1215" ht="15.75" customHeight="1">
      <c r="A1215" s="19" t="str">
        <f>IFERROR(__xludf.DUMMYFUNCTION("""COMPUTED_VALUE"""),"AB_11376")</f>
        <v>AB_11376</v>
      </c>
      <c r="B1215" s="19" t="str">
        <f>IFERROR(__xludf.DUMMYFUNCTION("""COMPUTED_VALUE"""),"AB_11376_A")</f>
        <v>AB_11376_A</v>
      </c>
      <c r="C1215" s="19" t="str">
        <f>IFERROR(__xludf.DUMMYFUNCTION("""COMPUTED_VALUE"""),"LR11376")</f>
        <v>LR11376</v>
      </c>
      <c r="D1215" s="19" t="str">
        <f>IFERROR(__xludf.DUMMYFUNCTION("""COMPUTED_VALUE"""),"Millahue RU2")</f>
        <v>Millahue RU2</v>
      </c>
      <c r="E1215" s="19" t="str">
        <f>IFERROR(__xludf.DUMMYFUNCTION("""COMPUTED_VALUE"""),"SITIO RFI")</f>
        <v>SITIO RFI</v>
      </c>
      <c r="F1215" s="19"/>
      <c r="G1215" s="19" t="str">
        <f>IFERROR(__xludf.DUMMYFUNCTION("""COMPUTED_VALUE"""),"x")</f>
        <v>x</v>
      </c>
      <c r="H1215" s="19" t="str">
        <f>IFERROR(__xludf.DUMMYFUNCTION("""COMPUTED_VALUE"""),"x")</f>
        <v>x</v>
      </c>
      <c r="I1215" s="19" t="str">
        <f>IFERROR(__xludf.DUMMYFUNCTION("""COMPUTED_VALUE"""),"x")</f>
        <v>x</v>
      </c>
      <c r="J1215" s="20" t="str">
        <f>IFERROR(__xludf.DUMMYFUNCTION("""COMPUTED_VALUE"""),"x")</f>
        <v>x</v>
      </c>
      <c r="K1215" s="19" t="str">
        <f>IFERROR(__xludf.DUMMYFUNCTION("""COMPUTED_VALUE"""),"x")</f>
        <v>x</v>
      </c>
      <c r="L1215" s="20" t="str">
        <f>IFERROR(__xludf.DUMMYFUNCTION("""COMPUTED_VALUE"""),"x")</f>
        <v>x</v>
      </c>
      <c r="M1215" s="19" t="str">
        <f>IFERROR(__xludf.DUMMYFUNCTION("""COMPUTED_VALUE"""),"PCM_2")</f>
        <v>PCM_2</v>
      </c>
      <c r="N1215" s="19" t="str">
        <f>IFERROR(__xludf.DUMMYFUNCTION("""COMPUTED_VALUE"""),"PRIORIDAD 1 Q3 2023 OCTUBRE")</f>
        <v>PRIORIDAD 1 Q3 2023 OCTUBRE</v>
      </c>
    </row>
    <row r="1216" ht="15.75" customHeight="1">
      <c r="A1216" s="19" t="str">
        <f>IFERROR(__xludf.DUMMYFUNCTION("""COMPUTED_VALUE"""),"AB_11745")</f>
        <v>AB_11745</v>
      </c>
      <c r="B1216" s="19" t="str">
        <f>IFERROR(__xludf.DUMMYFUNCTION("""COMPUTED_VALUE"""),"AB_11745_A")</f>
        <v>AB_11745_A</v>
      </c>
      <c r="C1216" s="19" t="str">
        <f>IFERROR(__xludf.DUMMYFUNCTION("""COMPUTED_VALUE"""),"LR11745")</f>
        <v>LR11745</v>
      </c>
      <c r="D1216" s="19" t="str">
        <f>IFERROR(__xludf.DUMMYFUNCTION("""COMPUTED_VALUE"""),"RPT NIEC")</f>
        <v>RPT NIEC</v>
      </c>
      <c r="E1216" s="19" t="str">
        <f>IFERROR(__xludf.DUMMYFUNCTION("""COMPUTED_VALUE"""),"DETENIDO Plan LLOO Fase II")</f>
        <v>DETENIDO Plan LLOO Fase II</v>
      </c>
      <c r="F1216" s="19"/>
      <c r="G1216" s="19" t="str">
        <f>IFERROR(__xludf.DUMMYFUNCTION("""COMPUTED_VALUE"""),"x")</f>
        <v>x</v>
      </c>
      <c r="H1216" s="19" t="str">
        <f>IFERROR(__xludf.DUMMYFUNCTION("""COMPUTED_VALUE"""),"x")</f>
        <v>x</v>
      </c>
      <c r="I1216" s="19" t="str">
        <f>IFERROR(__xludf.DUMMYFUNCTION("""COMPUTED_VALUE"""),"x")</f>
        <v>x</v>
      </c>
      <c r="J1216" s="20" t="str">
        <f>IFERROR(__xludf.DUMMYFUNCTION("""COMPUTED_VALUE"""),"x")</f>
        <v>x</v>
      </c>
      <c r="K1216" s="19" t="str">
        <f>IFERROR(__xludf.DUMMYFUNCTION("""COMPUTED_VALUE"""),"x")</f>
        <v>x</v>
      </c>
      <c r="L1216" s="20" t="str">
        <f>IFERROR(__xludf.DUMMYFUNCTION("""COMPUTED_VALUE"""),"x")</f>
        <v>x</v>
      </c>
      <c r="M1216" s="19" t="str">
        <f>IFERROR(__xludf.DUMMYFUNCTION("""COMPUTED_VALUE"""),"LLOO_3")</f>
        <v>LLOO_3</v>
      </c>
      <c r="N1216" s="19" t="str">
        <f>IFERROR(__xludf.DUMMYFUNCTION("""COMPUTED_VALUE"""),"PRIORIDAD 3 Q1 2024 MARZO")</f>
        <v>PRIORIDAD 3 Q1 2024 MARZO</v>
      </c>
    </row>
    <row r="1217" ht="15.75" customHeight="1">
      <c r="A1217" s="19" t="str">
        <f>IFERROR(__xludf.DUMMYFUNCTION("""COMPUTED_VALUE"""),"AB_1746")</f>
        <v>AB_1746</v>
      </c>
      <c r="B1217" s="19" t="str">
        <f>IFERROR(__xludf.DUMMYFUNCTION("""COMPUTED_VALUE"""),"AB_1746_D")</f>
        <v>AB_1746_D</v>
      </c>
      <c r="C1217" s="19" t="str">
        <f>IFERROR(__xludf.DUMMYFUNCTION("""COMPUTED_VALUE"""),"LR1746")</f>
        <v>LR1746</v>
      </c>
      <c r="D1217" s="19" t="str">
        <f>IFERROR(__xludf.DUMMYFUNCTION("""COMPUTED_VALUE"""),"Peninsula de Illahuapi")</f>
        <v>Peninsula de Illahuapi</v>
      </c>
      <c r="E1217" s="19" t="str">
        <f>IFERROR(__xludf.DUMMYFUNCTION("""COMPUTED_VALUE"""),"SITIO RFI")</f>
        <v>SITIO RFI</v>
      </c>
      <c r="F1217" s="19"/>
      <c r="G1217" s="19" t="str">
        <f>IFERROR(__xludf.DUMMYFUNCTION("""COMPUTED_VALUE"""),"x")</f>
        <v>x</v>
      </c>
      <c r="H1217" s="19" t="str">
        <f>IFERROR(__xludf.DUMMYFUNCTION("""COMPUTED_VALUE"""),"x")</f>
        <v>x</v>
      </c>
      <c r="I1217" s="19" t="str">
        <f>IFERROR(__xludf.DUMMYFUNCTION("""COMPUTED_VALUE"""),"x")</f>
        <v>x</v>
      </c>
      <c r="J1217" s="20" t="str">
        <f>IFERROR(__xludf.DUMMYFUNCTION("""COMPUTED_VALUE"""),"x")</f>
        <v>x</v>
      </c>
      <c r="K1217" s="19" t="str">
        <f>IFERROR(__xludf.DUMMYFUNCTION("""COMPUTED_VALUE"""),"x")</f>
        <v>x</v>
      </c>
      <c r="L1217" s="20" t="str">
        <f>IFERROR(__xludf.DUMMYFUNCTION("""COMPUTED_VALUE"""),"x")</f>
        <v>x</v>
      </c>
      <c r="M1217" s="19" t="str">
        <f>IFERROR(__xludf.DUMMYFUNCTION("""COMPUTED_VALUE"""),"PCM")</f>
        <v>PCM</v>
      </c>
      <c r="N1217" s="19" t="str">
        <f>IFERROR(__xludf.DUMMYFUNCTION("""COMPUTED_VALUE"""),"PRIORIDAD 1 Q3 2023 OCTUBRE")</f>
        <v>PRIORIDAD 1 Q3 2023 OCTUBRE</v>
      </c>
    </row>
    <row r="1218" ht="15.75" customHeight="1">
      <c r="A1218" s="19" t="str">
        <f>IFERROR(__xludf.DUMMYFUNCTION("""COMPUTED_VALUE"""),"AB_8557")</f>
        <v>AB_8557</v>
      </c>
      <c r="B1218" s="19" t="str">
        <f>IFERROR(__xludf.DUMMYFUNCTION("""COMPUTED_VALUE"""),"AB_8557_A")</f>
        <v>AB_8557_A</v>
      </c>
      <c r="C1218" s="19" t="str">
        <f>IFERROR(__xludf.DUMMYFUNCTION("""COMPUTED_VALUE"""),"LR8557")</f>
        <v>LR8557</v>
      </c>
      <c r="D1218" s="19" t="str">
        <f>IFERROR(__xludf.DUMMYFUNCTION("""COMPUTED_VALUE"""),"Camino a Curiñanco")</f>
        <v>Camino a Curiñanco</v>
      </c>
      <c r="E1218" s="19" t="str">
        <f>IFERROR(__xludf.DUMMYFUNCTION("""COMPUTED_VALUE"""),"SITIO RFI")</f>
        <v>SITIO RFI</v>
      </c>
      <c r="F1218" s="19"/>
      <c r="G1218" s="19" t="str">
        <f>IFERROR(__xludf.DUMMYFUNCTION("""COMPUTED_VALUE"""),"x")</f>
        <v>x</v>
      </c>
      <c r="H1218" s="19" t="str">
        <f>IFERROR(__xludf.DUMMYFUNCTION("""COMPUTED_VALUE"""),"x")</f>
        <v>x</v>
      </c>
      <c r="I1218" s="19" t="str">
        <f>IFERROR(__xludf.DUMMYFUNCTION("""COMPUTED_VALUE"""),"x")</f>
        <v>x</v>
      </c>
      <c r="J1218" s="20" t="str">
        <f>IFERROR(__xludf.DUMMYFUNCTION("""COMPUTED_VALUE"""),"x")</f>
        <v>x</v>
      </c>
      <c r="K1218" s="19" t="str">
        <f>IFERROR(__xludf.DUMMYFUNCTION("""COMPUTED_VALUE"""),"x")</f>
        <v>x</v>
      </c>
      <c r="L1218" s="20" t="str">
        <f>IFERROR(__xludf.DUMMYFUNCTION("""COMPUTED_VALUE"""),"x")</f>
        <v>x</v>
      </c>
      <c r="M1218" s="19" t="str">
        <f>IFERROR(__xludf.DUMMYFUNCTION("""COMPUTED_VALUE"""),"PCM")</f>
        <v>PCM</v>
      </c>
      <c r="N1218" s="19" t="str">
        <f>IFERROR(__xludf.DUMMYFUNCTION("""COMPUTED_VALUE"""),"PRIORIDAD 1 Q3 2023 OCTUBRE")</f>
        <v>PRIORIDAD 1 Q3 2023 OCTUBRE</v>
      </c>
    </row>
    <row r="1219" ht="15.75" customHeight="1">
      <c r="A1219" s="19" t="str">
        <f>IFERROR(__xludf.DUMMYFUNCTION("""COMPUTED_VALUE"""),"AB_9078")</f>
        <v>AB_9078</v>
      </c>
      <c r="B1219" s="19" t="str">
        <f>IFERROR(__xludf.DUMMYFUNCTION("""COMPUTED_VALUE"""),"AB_9078_A")</f>
        <v>AB_9078_A</v>
      </c>
      <c r="C1219" s="19" t="str">
        <f>IFERROR(__xludf.DUMMYFUNCTION("""COMPUTED_VALUE"""),"LR9078")</f>
        <v>LR9078</v>
      </c>
      <c r="D1219" s="19" t="str">
        <f>IFERROR(__xludf.DUMMYFUNCTION("""COMPUTED_VALUE"""),"Malihue")</f>
        <v>Malihue</v>
      </c>
      <c r="E1219" s="19" t="str">
        <f>IFERROR(__xludf.DUMMYFUNCTION("""COMPUTED_VALUE"""),"SITIO RFI")</f>
        <v>SITIO RFI</v>
      </c>
      <c r="F1219" s="19"/>
      <c r="G1219" s="19" t="str">
        <f>IFERROR(__xludf.DUMMYFUNCTION("""COMPUTED_VALUE"""),"x")</f>
        <v>x</v>
      </c>
      <c r="H1219" s="19" t="str">
        <f>IFERROR(__xludf.DUMMYFUNCTION("""COMPUTED_VALUE"""),"x")</f>
        <v>x</v>
      </c>
      <c r="I1219" s="19" t="str">
        <f>IFERROR(__xludf.DUMMYFUNCTION("""COMPUTED_VALUE"""),"x")</f>
        <v>x</v>
      </c>
      <c r="J1219" s="20" t="str">
        <f>IFERROR(__xludf.DUMMYFUNCTION("""COMPUTED_VALUE"""),"x")</f>
        <v>x</v>
      </c>
      <c r="K1219" s="19" t="str">
        <f>IFERROR(__xludf.DUMMYFUNCTION("""COMPUTED_VALUE"""),"x")</f>
        <v>x</v>
      </c>
      <c r="L1219" s="20" t="str">
        <f>IFERROR(__xludf.DUMMYFUNCTION("""COMPUTED_VALUE"""),"x")</f>
        <v>x</v>
      </c>
      <c r="M1219" s="19" t="str">
        <f>IFERROR(__xludf.DUMMYFUNCTION("""COMPUTED_VALUE"""),"PCM")</f>
        <v>PCM</v>
      </c>
      <c r="N1219" s="19" t="str">
        <f>IFERROR(__xludf.DUMMYFUNCTION("""COMPUTED_VALUE"""),"PRIORIDAD 1 Q3 2023 OCTUBRE")</f>
        <v>PRIORIDAD 1 Q3 2023 OCTUBRE</v>
      </c>
    </row>
    <row r="1220" ht="15.75" customHeight="1">
      <c r="A1220" s="19" t="str">
        <f>IFERROR(__xludf.DUMMYFUNCTION("""COMPUTED_VALUE"""),"AB_9082")</f>
        <v>AB_9082</v>
      </c>
      <c r="B1220" s="19" t="str">
        <f>IFERROR(__xludf.DUMMYFUNCTION("""COMPUTED_VALUE"""),"AB_9082_A")</f>
        <v>AB_9082_A</v>
      </c>
      <c r="C1220" s="19" t="str">
        <f>IFERROR(__xludf.DUMMYFUNCTION("""COMPUTED_VALUE"""),"LR9082")</f>
        <v>LR9082</v>
      </c>
      <c r="D1220" s="19" t="str">
        <f>IFERROR(__xludf.DUMMYFUNCTION("""COMPUTED_VALUE"""),"Crucero Río Bueno")</f>
        <v>Crucero Río Bueno</v>
      </c>
      <c r="E1220" s="19" t="str">
        <f>IFERROR(__xludf.DUMMYFUNCTION("""COMPUTED_VALUE"""),"SITIO RFI")</f>
        <v>SITIO RFI</v>
      </c>
      <c r="F1220" s="19"/>
      <c r="G1220" s="19" t="str">
        <f>IFERROR(__xludf.DUMMYFUNCTION("""COMPUTED_VALUE"""),"x")</f>
        <v>x</v>
      </c>
      <c r="H1220" s="19" t="str">
        <f>IFERROR(__xludf.DUMMYFUNCTION("""COMPUTED_VALUE"""),"x")</f>
        <v>x</v>
      </c>
      <c r="I1220" s="19" t="str">
        <f>IFERROR(__xludf.DUMMYFUNCTION("""COMPUTED_VALUE"""),"x")</f>
        <v>x</v>
      </c>
      <c r="J1220" s="20" t="str">
        <f>IFERROR(__xludf.DUMMYFUNCTION("""COMPUTED_VALUE"""),"x")</f>
        <v>x</v>
      </c>
      <c r="K1220" s="19" t="str">
        <f>IFERROR(__xludf.DUMMYFUNCTION("""COMPUTED_VALUE"""),"x")</f>
        <v>x</v>
      </c>
      <c r="L1220" s="20" t="str">
        <f>IFERROR(__xludf.DUMMYFUNCTION("""COMPUTED_VALUE"""),"x")</f>
        <v>x</v>
      </c>
      <c r="M1220" s="19" t="str">
        <f>IFERROR(__xludf.DUMMYFUNCTION("""COMPUTED_VALUE"""),"PCM")</f>
        <v>PCM</v>
      </c>
      <c r="N1220" s="19" t="str">
        <f>IFERROR(__xludf.DUMMYFUNCTION("""COMPUTED_VALUE"""),"PRIORIDAD 1 Q3 2023 OCTUBRE")</f>
        <v>PRIORIDAD 1 Q3 2023 OCTUBRE</v>
      </c>
    </row>
    <row r="1221" ht="15.75" customHeight="1">
      <c r="A1221" s="19" t="str">
        <f>IFERROR(__xludf.DUMMYFUNCTION("""COMPUTED_VALUE"""),"AB_9424")</f>
        <v>AB_9424</v>
      </c>
      <c r="B1221" s="19" t="str">
        <f>IFERROR(__xludf.DUMMYFUNCTION("""COMPUTED_VALUE"""),"AB_9424_B")</f>
        <v>AB_9424_B</v>
      </c>
      <c r="C1221" s="19" t="str">
        <f>IFERROR(__xludf.DUMMYFUNCTION("""COMPUTED_VALUE"""),"LR9424")</f>
        <v>LR9424</v>
      </c>
      <c r="D1221" s="19" t="str">
        <f>IFERROR(__xludf.DUMMYFUNCTION("""COMPUTED_VALUE"""),"El Rebellin")</f>
        <v>El Rebellin</v>
      </c>
      <c r="E1221" s="19" t="str">
        <f>IFERROR(__xludf.DUMMYFUNCTION("""COMPUTED_VALUE"""),"SITIO RFC")</f>
        <v>SITIO RFC</v>
      </c>
      <c r="F1221" s="19"/>
      <c r="G1221" s="19" t="str">
        <f>IFERROR(__xludf.DUMMYFUNCTION("""COMPUTED_VALUE"""),"x")</f>
        <v>x</v>
      </c>
      <c r="H1221" s="19" t="str">
        <f>IFERROR(__xludf.DUMMYFUNCTION("""COMPUTED_VALUE"""),"x")</f>
        <v>x</v>
      </c>
      <c r="I1221" s="19" t="str">
        <f>IFERROR(__xludf.DUMMYFUNCTION("""COMPUTED_VALUE"""),"x")</f>
        <v>x</v>
      </c>
      <c r="J1221" s="20" t="str">
        <f>IFERROR(__xludf.DUMMYFUNCTION("""COMPUTED_VALUE"""),"x")</f>
        <v>x</v>
      </c>
      <c r="K1221" s="19" t="str">
        <f>IFERROR(__xludf.DUMMYFUNCTION("""COMPUTED_VALUE"""),"x")</f>
        <v>x</v>
      </c>
      <c r="L1221" s="20" t="str">
        <f>IFERROR(__xludf.DUMMYFUNCTION("""COMPUTED_VALUE"""),"x")</f>
        <v>x</v>
      </c>
      <c r="M1221" s="19" t="str">
        <f>IFERROR(__xludf.DUMMYFUNCTION("""COMPUTED_VALUE"""),"PP")</f>
        <v>PP</v>
      </c>
      <c r="N1221" s="19" t="str">
        <f>IFERROR(__xludf.DUMMYFUNCTION("""COMPUTED_VALUE"""),"PRIORIDAD 1 Q3 2023 OCTUBRE")</f>
        <v>PRIORIDAD 1 Q3 2023 OCTUBRE</v>
      </c>
    </row>
    <row r="1222" ht="15.75" customHeight="1">
      <c r="A1222" s="19" t="str">
        <f>IFERROR(__xludf.DUMMYFUNCTION("""COMPUTED_VALUE"""),"AB_9637")</f>
        <v>AB_9637</v>
      </c>
      <c r="B1222" s="19" t="str">
        <f>IFERROR(__xludf.DUMMYFUNCTION("""COMPUTED_VALUE"""),"AB_9637_B")</f>
        <v>AB_9637_B</v>
      </c>
      <c r="C1222" s="19" t="str">
        <f>IFERROR(__xludf.DUMMYFUNCTION("""COMPUTED_VALUE"""),"LR9637")</f>
        <v>LR9637</v>
      </c>
      <c r="D1222" s="19" t="str">
        <f>IFERROR(__xludf.DUMMYFUNCTION("""COMPUTED_VALUE"""),"Chanco Los Lagos")</f>
        <v>Chanco Los Lagos</v>
      </c>
      <c r="E1222" s="19" t="str">
        <f>IFERROR(__xludf.DUMMYFUNCTION("""COMPUTED_VALUE"""),"SITIO RFI")</f>
        <v>SITIO RFI</v>
      </c>
      <c r="F1222" s="19"/>
      <c r="G1222" s="19" t="str">
        <f>IFERROR(__xludf.DUMMYFUNCTION("""COMPUTED_VALUE"""),"x")</f>
        <v>x</v>
      </c>
      <c r="H1222" s="19" t="str">
        <f>IFERROR(__xludf.DUMMYFUNCTION("""COMPUTED_VALUE"""),"x")</f>
        <v>x</v>
      </c>
      <c r="I1222" s="19" t="str">
        <f>IFERROR(__xludf.DUMMYFUNCTION("""COMPUTED_VALUE"""),"x")</f>
        <v>x</v>
      </c>
      <c r="J1222" s="20" t="str">
        <f>IFERROR(__xludf.DUMMYFUNCTION("""COMPUTED_VALUE"""),"x")</f>
        <v>x</v>
      </c>
      <c r="K1222" s="19" t="str">
        <f>IFERROR(__xludf.DUMMYFUNCTION("""COMPUTED_VALUE"""),"x")</f>
        <v>x</v>
      </c>
      <c r="L1222" s="20" t="str">
        <f>IFERROR(__xludf.DUMMYFUNCTION("""COMPUTED_VALUE"""),"x")</f>
        <v>x</v>
      </c>
      <c r="M1222" s="19" t="str">
        <f>IFERROR(__xludf.DUMMYFUNCTION("""COMPUTED_VALUE"""),"PP")</f>
        <v>PP</v>
      </c>
      <c r="N1222" s="19" t="str">
        <f>IFERROR(__xludf.DUMMYFUNCTION("""COMPUTED_VALUE"""),"PRIORIDAD 1 Q3 2023 OCTUBRE")</f>
        <v>PRIORIDAD 1 Q3 2023 OCTUBRE</v>
      </c>
    </row>
    <row r="1223" ht="15.75" customHeight="1">
      <c r="A1223" s="19" t="str">
        <f>IFERROR(__xludf.DUMMYFUNCTION("""COMPUTED_VALUE"""),"AB_9638")</f>
        <v>AB_9638</v>
      </c>
      <c r="B1223" s="19" t="str">
        <f>IFERROR(__xludf.DUMMYFUNCTION("""COMPUTED_VALUE"""),"AB_9638_B")</f>
        <v>AB_9638_B</v>
      </c>
      <c r="C1223" s="19" t="str">
        <f>IFERROR(__xludf.DUMMYFUNCTION("""COMPUTED_VALUE"""),"LR9638")</f>
        <v>LR9638</v>
      </c>
      <c r="D1223" s="19" t="str">
        <f>IFERROR(__xludf.DUMMYFUNCTION("""COMPUTED_VALUE"""),"Peaje Troncal La Union")</f>
        <v>Peaje Troncal La Union</v>
      </c>
      <c r="E1223" s="19" t="str">
        <f>IFERROR(__xludf.DUMMYFUNCTION("""COMPUTED_VALUE"""),"SITIO RFC")</f>
        <v>SITIO RFC</v>
      </c>
      <c r="F1223" s="19"/>
      <c r="G1223" s="19" t="str">
        <f>IFERROR(__xludf.DUMMYFUNCTION("""COMPUTED_VALUE"""),"x")</f>
        <v>x</v>
      </c>
      <c r="H1223" s="19" t="str">
        <f>IFERROR(__xludf.DUMMYFUNCTION("""COMPUTED_VALUE"""),"x")</f>
        <v>x</v>
      </c>
      <c r="I1223" s="19" t="str">
        <f>IFERROR(__xludf.DUMMYFUNCTION("""COMPUTED_VALUE"""),"x")</f>
        <v>x</v>
      </c>
      <c r="J1223" s="20" t="str">
        <f>IFERROR(__xludf.DUMMYFUNCTION("""COMPUTED_VALUE"""),"x")</f>
        <v>x</v>
      </c>
      <c r="K1223" s="19" t="str">
        <f>IFERROR(__xludf.DUMMYFUNCTION("""COMPUTED_VALUE"""),"x")</f>
        <v>x</v>
      </c>
      <c r="L1223" s="20" t="str">
        <f>IFERROR(__xludf.DUMMYFUNCTION("""COMPUTED_VALUE"""),"x")</f>
        <v>x</v>
      </c>
      <c r="M1223" s="19" t="str">
        <f>IFERROR(__xludf.DUMMYFUNCTION("""COMPUTED_VALUE"""),"PP")</f>
        <v>PP</v>
      </c>
      <c r="N1223" s="19" t="str">
        <f>IFERROR(__xludf.DUMMYFUNCTION("""COMPUTED_VALUE"""),"PRIORIDAD 1 Q3 2023 OCTUBRE")</f>
        <v>PRIORIDAD 1 Q3 2023 OCTUBRE</v>
      </c>
    </row>
    <row r="1224" ht="15.75" customHeight="1">
      <c r="A1224" s="19" t="str">
        <f>IFERROR(__xludf.DUMMYFUNCTION("""COMPUTED_VALUE"""),"AB_9658")</f>
        <v>AB_9658</v>
      </c>
      <c r="B1224" s="19" t="str">
        <f>IFERROR(__xludf.DUMMYFUNCTION("""COMPUTED_VALUE"""),"AB_9658_B")</f>
        <v>AB_9658_B</v>
      </c>
      <c r="C1224" s="19" t="str">
        <f>IFERROR(__xludf.DUMMYFUNCTION("""COMPUTED_VALUE"""),"LR9658")</f>
        <v>LR9658</v>
      </c>
      <c r="D1224" s="19" t="str">
        <f>IFERROR(__xludf.DUMMYFUNCTION("""COMPUTED_VALUE"""),"Demaihue")</f>
        <v>Demaihue</v>
      </c>
      <c r="E1224" s="19" t="str">
        <f>IFERROR(__xludf.DUMMYFUNCTION("""COMPUTED_VALUE"""),"SITIO ASIGNADO")</f>
        <v>SITIO ASIGNADO</v>
      </c>
      <c r="F1224" s="19"/>
      <c r="G1224" s="19" t="str">
        <f>IFERROR(__xludf.DUMMYFUNCTION("""COMPUTED_VALUE"""),"x")</f>
        <v>x</v>
      </c>
      <c r="H1224" s="19" t="str">
        <f>IFERROR(__xludf.DUMMYFUNCTION("""COMPUTED_VALUE"""),"x")</f>
        <v>x</v>
      </c>
      <c r="I1224" s="19" t="str">
        <f>IFERROR(__xludf.DUMMYFUNCTION("""COMPUTED_VALUE"""),"x")</f>
        <v>x</v>
      </c>
      <c r="J1224" s="20" t="str">
        <f>IFERROR(__xludf.DUMMYFUNCTION("""COMPUTED_VALUE"""),"x")</f>
        <v>x</v>
      </c>
      <c r="K1224" s="19" t="str">
        <f>IFERROR(__xludf.DUMMYFUNCTION("""COMPUTED_VALUE"""),"x")</f>
        <v>x</v>
      </c>
      <c r="L1224" s="20" t="str">
        <f>IFERROR(__xludf.DUMMYFUNCTION("""COMPUTED_VALUE"""),"x")</f>
        <v>x</v>
      </c>
      <c r="M1224" s="19" t="str">
        <f>IFERROR(__xludf.DUMMYFUNCTION("""COMPUTED_VALUE"""),"PP")</f>
        <v>PP</v>
      </c>
      <c r="N1224" s="19" t="str">
        <f>IFERROR(__xludf.DUMMYFUNCTION("""COMPUTED_VALUE"""),"PRIORIDAD 1 Q3 2023 OCTUBRE")</f>
        <v>PRIORIDAD 1 Q3 2023 OCTUBRE</v>
      </c>
    </row>
    <row r="1225" ht="15.75" customHeight="1">
      <c r="A1225" s="19" t="str">
        <f>IFERROR(__xludf.DUMMYFUNCTION("""COMPUTED_VALUE"""),"AB_9874")</f>
        <v>AB_9874</v>
      </c>
      <c r="B1225" s="19" t="str">
        <f>IFERROR(__xludf.DUMMYFUNCTION("""COMPUTED_VALUE"""),"AB_9874_A")</f>
        <v>AB_9874_A</v>
      </c>
      <c r="C1225" s="19" t="str">
        <f>IFERROR(__xludf.DUMMYFUNCTION("""COMPUTED_VALUE"""),"LR9874")</f>
        <v>LR9874</v>
      </c>
      <c r="D1225" s="19" t="str">
        <f>IFERROR(__xludf.DUMMYFUNCTION("""COMPUTED_VALUE"""),"LLOO Nueva Esperanza")</f>
        <v>LLOO Nueva Esperanza</v>
      </c>
      <c r="E1225" s="19" t="str">
        <f>IFERROR(__xludf.DUMMYFUNCTION("""COMPUTED_VALUE"""),"SITIO RFI")</f>
        <v>SITIO RFI</v>
      </c>
      <c r="F1225" s="19"/>
      <c r="G1225" s="19" t="str">
        <f>IFERROR(__xludf.DUMMYFUNCTION("""COMPUTED_VALUE"""),"x")</f>
        <v>x</v>
      </c>
      <c r="H1225" s="19" t="str">
        <f>IFERROR(__xludf.DUMMYFUNCTION("""COMPUTED_VALUE"""),"x")</f>
        <v>x</v>
      </c>
      <c r="I1225" s="19" t="str">
        <f>IFERROR(__xludf.DUMMYFUNCTION("""COMPUTED_VALUE"""),"x")</f>
        <v>x</v>
      </c>
      <c r="J1225" s="20" t="str">
        <f>IFERROR(__xludf.DUMMYFUNCTION("""COMPUTED_VALUE"""),"x")</f>
        <v>x</v>
      </c>
      <c r="K1225" s="19" t="str">
        <f>IFERROR(__xludf.DUMMYFUNCTION("""COMPUTED_VALUE"""),"x")</f>
        <v>x</v>
      </c>
      <c r="L1225" s="20" t="str">
        <f>IFERROR(__xludf.DUMMYFUNCTION("""COMPUTED_VALUE"""),"x")</f>
        <v>x</v>
      </c>
      <c r="M1225" s="19" t="str">
        <f>IFERROR(__xludf.DUMMYFUNCTION("""COMPUTED_VALUE"""),"LLOO")</f>
        <v>LLOO</v>
      </c>
      <c r="N1225" s="19" t="str">
        <f>IFERROR(__xludf.DUMMYFUNCTION("""COMPUTED_VALUE"""),"PRIORIDAD 1 Q3 2023 OCTUBRE")</f>
        <v>PRIORIDAD 1 Q3 2023 OCTUBRE</v>
      </c>
    </row>
    <row r="1226" ht="15.75" customHeight="1">
      <c r="A1226" s="19" t="str">
        <f>IFERROR(__xludf.DUMMYFUNCTION("""COMPUTED_VALUE"""),"AB_10346")</f>
        <v>AB_10346</v>
      </c>
      <c r="B1226" s="19" t="str">
        <f>IFERROR(__xludf.DUMMYFUNCTION("""COMPUTED_VALUE"""),"AB_10346_C")</f>
        <v>AB_10346_C</v>
      </c>
      <c r="C1226" s="19" t="str">
        <f>IFERROR(__xludf.DUMMYFUNCTION("""COMPUTED_VALUE"""),"MA10346")</f>
        <v>MA10346</v>
      </c>
      <c r="D1226" s="19" t="str">
        <f>IFERROR(__xludf.DUMMYFUNCTION("""COMPUTED_VALUE"""),"La Chispa Rio Claro")</f>
        <v>La Chispa Rio Claro</v>
      </c>
      <c r="E1226" s="19" t="str">
        <f>IFERROR(__xludf.DUMMYFUNCTION("""COMPUTED_VALUE"""),"SITIO RFI")</f>
        <v>SITIO RFI</v>
      </c>
      <c r="F1226" s="19"/>
      <c r="G1226" s="19" t="str">
        <f>IFERROR(__xludf.DUMMYFUNCTION("""COMPUTED_VALUE"""),"x")</f>
        <v>x</v>
      </c>
      <c r="H1226" s="19" t="str">
        <f>IFERROR(__xludf.DUMMYFUNCTION("""COMPUTED_VALUE"""),"x")</f>
        <v>x</v>
      </c>
      <c r="I1226" s="19" t="str">
        <f>IFERROR(__xludf.DUMMYFUNCTION("""COMPUTED_VALUE"""),"x")</f>
        <v>x</v>
      </c>
      <c r="J1226" s="20" t="str">
        <f>IFERROR(__xludf.DUMMYFUNCTION("""COMPUTED_VALUE"""),"x")</f>
        <v>x</v>
      </c>
      <c r="K1226" s="19" t="str">
        <f>IFERROR(__xludf.DUMMYFUNCTION("""COMPUTED_VALUE"""),"x")</f>
        <v>x</v>
      </c>
      <c r="L1226" s="20" t="str">
        <f>IFERROR(__xludf.DUMMYFUNCTION("""COMPUTED_VALUE"""),"x")</f>
        <v>x</v>
      </c>
      <c r="M1226" s="19" t="str">
        <f>IFERROR(__xludf.DUMMYFUNCTION("""COMPUTED_VALUE"""),"PCM")</f>
        <v>PCM</v>
      </c>
      <c r="N1226" s="19" t="str">
        <f>IFERROR(__xludf.DUMMYFUNCTION("""COMPUTED_VALUE"""),"PRIORIDAD 1 Q3 2023 OCTUBRE")</f>
        <v>PRIORIDAD 1 Q3 2023 OCTUBRE</v>
      </c>
    </row>
    <row r="1227" ht="15.75" customHeight="1">
      <c r="A1227" s="19" t="str">
        <f>IFERROR(__xludf.DUMMYFUNCTION("""COMPUTED_VALUE"""),"AB_11450")</f>
        <v>AB_11450</v>
      </c>
      <c r="B1227" s="19" t="str">
        <f>IFERROR(__xludf.DUMMYFUNCTION("""COMPUTED_VALUE"""),"AB_11450_G")</f>
        <v>AB_11450_G</v>
      </c>
      <c r="C1227" s="19" t="str">
        <f>IFERROR(__xludf.DUMMYFUNCTION("""COMPUTED_VALUE"""),"MA11450")</f>
        <v>MA11450</v>
      </c>
      <c r="D1227" s="19" t="str">
        <f>IFERROR(__xludf.DUMMYFUNCTION("""COMPUTED_VALUE"""),"Talca 16 Oriente RU")</f>
        <v>Talca 16 Oriente RU</v>
      </c>
      <c r="E1227" s="19" t="str">
        <f>IFERROR(__xludf.DUMMYFUNCTION("""COMPUTED_VALUE"""),"SITIO PENDIENTE")</f>
        <v>SITIO PENDIENTE</v>
      </c>
      <c r="F1227" s="19"/>
      <c r="G1227" s="19" t="str">
        <f>IFERROR(__xludf.DUMMYFUNCTION("""COMPUTED_VALUE"""),"x")</f>
        <v>x</v>
      </c>
      <c r="H1227" s="19" t="str">
        <f>IFERROR(__xludf.DUMMYFUNCTION("""COMPUTED_VALUE"""),"x")</f>
        <v>x</v>
      </c>
      <c r="I1227" s="19" t="str">
        <f>IFERROR(__xludf.DUMMYFUNCTION("""COMPUTED_VALUE"""),"x")</f>
        <v>x</v>
      </c>
      <c r="J1227" s="20" t="str">
        <f>IFERROR(__xludf.DUMMYFUNCTION("""COMPUTED_VALUE"""),"x")</f>
        <v>x</v>
      </c>
      <c r="K1227" s="19" t="str">
        <f>IFERROR(__xludf.DUMMYFUNCTION("""COMPUTED_VALUE"""),"x")</f>
        <v>x</v>
      </c>
      <c r="L1227" s="20" t="str">
        <f>IFERROR(__xludf.DUMMYFUNCTION("""COMPUTED_VALUE"""),"x")</f>
        <v>x</v>
      </c>
      <c r="M1227" s="19" t="str">
        <f>IFERROR(__xludf.DUMMYFUNCTION("""COMPUTED_VALUE"""),"PCM_4")</f>
        <v>PCM_4</v>
      </c>
      <c r="N1227" s="19" t="str">
        <f>IFERROR(__xludf.DUMMYFUNCTION("""COMPUTED_VALUE"""),"PRIORIDAD 3 Q1 2024 MARZO")</f>
        <v>PRIORIDAD 3 Q1 2024 MARZO</v>
      </c>
    </row>
    <row r="1228" ht="15.75" customHeight="1">
      <c r="A1228" s="19" t="str">
        <f>IFERROR(__xludf.DUMMYFUNCTION("""COMPUTED_VALUE"""),"AB_1203")</f>
        <v>AB_1203</v>
      </c>
      <c r="B1228" s="19" t="str">
        <f>IFERROR(__xludf.DUMMYFUNCTION("""COMPUTED_VALUE"""),"AB_1203_G")</f>
        <v>AB_1203_G</v>
      </c>
      <c r="C1228" s="19" t="str">
        <f>IFERROR(__xludf.DUMMYFUNCTION("""COMPUTED_VALUE"""),"MA1203")</f>
        <v>MA1203</v>
      </c>
      <c r="D1228" s="19" t="str">
        <f>IFERROR(__xludf.DUMMYFUNCTION("""COMPUTED_VALUE"""),"Villa Alegre")</f>
        <v>Villa Alegre</v>
      </c>
      <c r="E1228" s="19" t="str">
        <f>IFERROR(__xludf.DUMMYFUNCTION("""COMPUTED_VALUE"""),"SITIO RFI")</f>
        <v>SITIO RFI</v>
      </c>
      <c r="F1228" s="19"/>
      <c r="G1228" s="19" t="str">
        <f>IFERROR(__xludf.DUMMYFUNCTION("""COMPUTED_VALUE"""),"x")</f>
        <v>x</v>
      </c>
      <c r="H1228" s="19" t="str">
        <f>IFERROR(__xludf.DUMMYFUNCTION("""COMPUTED_VALUE"""),"x")</f>
        <v>x</v>
      </c>
      <c r="I1228" s="19" t="str">
        <f>IFERROR(__xludf.DUMMYFUNCTION("""COMPUTED_VALUE"""),"x")</f>
        <v>x</v>
      </c>
      <c r="J1228" s="20" t="str">
        <f>IFERROR(__xludf.DUMMYFUNCTION("""COMPUTED_VALUE"""),"x")</f>
        <v>x</v>
      </c>
      <c r="K1228" s="19" t="str">
        <f>IFERROR(__xludf.DUMMYFUNCTION("""COMPUTED_VALUE"""),"x")</f>
        <v>x</v>
      </c>
      <c r="L1228" s="20" t="str">
        <f>IFERROR(__xludf.DUMMYFUNCTION("""COMPUTED_VALUE"""),"x")</f>
        <v>x</v>
      </c>
      <c r="M1228" s="19" t="str">
        <f>IFERROR(__xludf.DUMMYFUNCTION("""COMPUTED_VALUE"""),"PCM")</f>
        <v>PCM</v>
      </c>
      <c r="N1228" s="19" t="str">
        <f>IFERROR(__xludf.DUMMYFUNCTION("""COMPUTED_VALUE"""),"PRIORIDAD 1 Q3 2023 OCTUBRE")</f>
        <v>PRIORIDAD 1 Q3 2023 OCTUBRE</v>
      </c>
    </row>
    <row r="1229" ht="15.75" customHeight="1">
      <c r="A1229" s="19" t="str">
        <f>IFERROR(__xludf.DUMMYFUNCTION("""COMPUTED_VALUE"""),"AB_1788")</f>
        <v>AB_1788</v>
      </c>
      <c r="B1229" s="19" t="str">
        <f>IFERROR(__xludf.DUMMYFUNCTION("""COMPUTED_VALUE"""),"AB_1788_O")</f>
        <v>AB_1788_O</v>
      </c>
      <c r="C1229" s="19" t="str">
        <f>IFERROR(__xludf.DUMMYFUNCTION("""COMPUTED_VALUE"""),"MA1788")</f>
        <v>MA1788</v>
      </c>
      <c r="D1229" s="19" t="str">
        <f>IFERROR(__xludf.DUMMYFUNCTION("""COMPUTED_VALUE"""),"Cauquenes Barrio Estacion")</f>
        <v>Cauquenes Barrio Estacion</v>
      </c>
      <c r="E1229" s="19" t="str">
        <f>IFERROR(__xludf.DUMMYFUNCTION("""COMPUTED_VALUE"""),"SITIO RFI")</f>
        <v>SITIO RFI</v>
      </c>
      <c r="F1229" s="19"/>
      <c r="G1229" s="19" t="str">
        <f>IFERROR(__xludf.DUMMYFUNCTION("""COMPUTED_VALUE"""),"x")</f>
        <v>x</v>
      </c>
      <c r="H1229" s="19" t="str">
        <f>IFERROR(__xludf.DUMMYFUNCTION("""COMPUTED_VALUE"""),"x")</f>
        <v>x</v>
      </c>
      <c r="I1229" s="19" t="str">
        <f>IFERROR(__xludf.DUMMYFUNCTION("""COMPUTED_VALUE"""),"x")</f>
        <v>x</v>
      </c>
      <c r="J1229" s="20" t="str">
        <f>IFERROR(__xludf.DUMMYFUNCTION("""COMPUTED_VALUE"""),"x")</f>
        <v>x</v>
      </c>
      <c r="K1229" s="19" t="str">
        <f>IFERROR(__xludf.DUMMYFUNCTION("""COMPUTED_VALUE"""),"x")</f>
        <v>x</v>
      </c>
      <c r="L1229" s="20" t="str">
        <f>IFERROR(__xludf.DUMMYFUNCTION("""COMPUTED_VALUE"""),"x")</f>
        <v>x</v>
      </c>
      <c r="M1229" s="19" t="str">
        <f>IFERROR(__xludf.DUMMYFUNCTION("""COMPUTED_VALUE"""),"PCM")</f>
        <v>PCM</v>
      </c>
      <c r="N1229" s="19" t="str">
        <f>IFERROR(__xludf.DUMMYFUNCTION("""COMPUTED_VALUE"""),"PRIORIDAD 1 Q3 2023 OCTUBRE")</f>
        <v>PRIORIDAD 1 Q3 2023 OCTUBRE</v>
      </c>
    </row>
    <row r="1230" ht="15.75" customHeight="1">
      <c r="A1230" s="19" t="str">
        <f>IFERROR(__xludf.DUMMYFUNCTION("""COMPUTED_VALUE"""),"AB_1795")</f>
        <v>AB_1795</v>
      </c>
      <c r="B1230" s="19" t="str">
        <f>IFERROR(__xludf.DUMMYFUNCTION("""COMPUTED_VALUE"""),"AB_1795_L")</f>
        <v>AB_1795_L</v>
      </c>
      <c r="C1230" s="19" t="str">
        <f>IFERROR(__xludf.DUMMYFUNCTION("""COMPUTED_VALUE"""),"MA1795")</f>
        <v>MA1795</v>
      </c>
      <c r="D1230" s="19" t="str">
        <f>IFERROR(__xludf.DUMMYFUNCTION("""COMPUTED_VALUE"""),"Chanco")</f>
        <v>Chanco</v>
      </c>
      <c r="E1230" s="19" t="str">
        <f>IFERROR(__xludf.DUMMYFUNCTION("""COMPUTED_VALUE"""),"SITIO RFI")</f>
        <v>SITIO RFI</v>
      </c>
      <c r="F1230" s="19"/>
      <c r="G1230" s="19" t="str">
        <f>IFERROR(__xludf.DUMMYFUNCTION("""COMPUTED_VALUE"""),"x")</f>
        <v>x</v>
      </c>
      <c r="H1230" s="19" t="str">
        <f>IFERROR(__xludf.DUMMYFUNCTION("""COMPUTED_VALUE"""),"x")</f>
        <v>x</v>
      </c>
      <c r="I1230" s="19" t="str">
        <f>IFERROR(__xludf.DUMMYFUNCTION("""COMPUTED_VALUE"""),"x")</f>
        <v>x</v>
      </c>
      <c r="J1230" s="20" t="str">
        <f>IFERROR(__xludf.DUMMYFUNCTION("""COMPUTED_VALUE"""),"x")</f>
        <v>x</v>
      </c>
      <c r="K1230" s="19" t="str">
        <f>IFERROR(__xludf.DUMMYFUNCTION("""COMPUTED_VALUE"""),"x")</f>
        <v>x</v>
      </c>
      <c r="L1230" s="20" t="str">
        <f>IFERROR(__xludf.DUMMYFUNCTION("""COMPUTED_VALUE"""),"x")</f>
        <v>x</v>
      </c>
      <c r="M1230" s="19" t="str">
        <f>IFERROR(__xludf.DUMMYFUNCTION("""COMPUTED_VALUE"""),"PCM")</f>
        <v>PCM</v>
      </c>
      <c r="N1230" s="19" t="str">
        <f>IFERROR(__xludf.DUMMYFUNCTION("""COMPUTED_VALUE"""),"PRIORIDAD 1 Q3 2023 OCTUBRE")</f>
        <v>PRIORIDAD 1 Q3 2023 OCTUBRE</v>
      </c>
    </row>
    <row r="1231" ht="15.75" customHeight="1">
      <c r="A1231" s="19" t="str">
        <f>IFERROR(__xludf.DUMMYFUNCTION("""COMPUTED_VALUE"""),"AB_4009")</f>
        <v>AB_4009</v>
      </c>
      <c r="B1231" s="19" t="str">
        <f>IFERROR(__xludf.DUMMYFUNCTION("""COMPUTED_VALUE"""),"AB_4009_A")</f>
        <v>AB_4009_A</v>
      </c>
      <c r="C1231" s="19" t="str">
        <f>IFERROR(__xludf.DUMMYFUNCTION("""COMPUTED_VALUE"""),"MA4009")</f>
        <v>MA4009</v>
      </c>
      <c r="D1231" s="19" t="str">
        <f>IFERROR(__xludf.DUMMYFUNCTION("""COMPUTED_VALUE"""),"Camino Rauco")</f>
        <v>Camino Rauco</v>
      </c>
      <c r="E1231" s="19" t="str">
        <f>IFERROR(__xludf.DUMMYFUNCTION("""COMPUTED_VALUE"""),"SITIO RFI")</f>
        <v>SITIO RFI</v>
      </c>
      <c r="F1231" s="19"/>
      <c r="G1231" s="19" t="str">
        <f>IFERROR(__xludf.DUMMYFUNCTION("""COMPUTED_VALUE"""),"x")</f>
        <v>x</v>
      </c>
      <c r="H1231" s="19" t="str">
        <f>IFERROR(__xludf.DUMMYFUNCTION("""COMPUTED_VALUE"""),"x")</f>
        <v>x</v>
      </c>
      <c r="I1231" s="19" t="str">
        <f>IFERROR(__xludf.DUMMYFUNCTION("""COMPUTED_VALUE"""),"x")</f>
        <v>x</v>
      </c>
      <c r="J1231" s="20" t="str">
        <f>IFERROR(__xludf.DUMMYFUNCTION("""COMPUTED_VALUE"""),"x")</f>
        <v>x</v>
      </c>
      <c r="K1231" s="19" t="str">
        <f>IFERROR(__xludf.DUMMYFUNCTION("""COMPUTED_VALUE"""),"x")</f>
        <v>x</v>
      </c>
      <c r="L1231" s="20" t="str">
        <f>IFERROR(__xludf.DUMMYFUNCTION("""COMPUTED_VALUE"""),"x")</f>
        <v>x</v>
      </c>
      <c r="M1231" s="19" t="str">
        <f>IFERROR(__xludf.DUMMYFUNCTION("""COMPUTED_VALUE"""),"PCM")</f>
        <v>PCM</v>
      </c>
      <c r="N1231" s="19" t="str">
        <f>IFERROR(__xludf.DUMMYFUNCTION("""COMPUTED_VALUE"""),"PRIORIDAD 1 Q3 2023 OCTUBRE")</f>
        <v>PRIORIDAD 1 Q3 2023 OCTUBRE</v>
      </c>
    </row>
    <row r="1232" ht="15.75" customHeight="1">
      <c r="A1232" s="19" t="str">
        <f>IFERROR(__xludf.DUMMYFUNCTION("""COMPUTED_VALUE"""),"AB_4810")</f>
        <v>AB_4810</v>
      </c>
      <c r="B1232" s="19" t="str">
        <f>IFERROR(__xludf.DUMMYFUNCTION("""COMPUTED_VALUE"""),"AB_4810_E")</f>
        <v>AB_4810_E</v>
      </c>
      <c r="C1232" s="19" t="str">
        <f>IFERROR(__xludf.DUMMYFUNCTION("""COMPUTED_VALUE"""),"MA4810")</f>
        <v>MA4810</v>
      </c>
      <c r="D1232" s="19" t="str">
        <f>IFERROR(__xludf.DUMMYFUNCTION("""COMPUTED_VALUE"""),"Rancura")</f>
        <v>Rancura</v>
      </c>
      <c r="E1232" s="19" t="str">
        <f>IFERROR(__xludf.DUMMYFUNCTION("""COMPUTED_VALUE"""),"SITIO RFI")</f>
        <v>SITIO RFI</v>
      </c>
      <c r="F1232" s="19"/>
      <c r="G1232" s="19" t="str">
        <f>IFERROR(__xludf.DUMMYFUNCTION("""COMPUTED_VALUE"""),"x")</f>
        <v>x</v>
      </c>
      <c r="H1232" s="19" t="str">
        <f>IFERROR(__xludf.DUMMYFUNCTION("""COMPUTED_VALUE"""),"x")</f>
        <v>x</v>
      </c>
      <c r="I1232" s="19" t="str">
        <f>IFERROR(__xludf.DUMMYFUNCTION("""COMPUTED_VALUE"""),"x")</f>
        <v>x</v>
      </c>
      <c r="J1232" s="20" t="str">
        <f>IFERROR(__xludf.DUMMYFUNCTION("""COMPUTED_VALUE"""),"x")</f>
        <v>x</v>
      </c>
      <c r="K1232" s="19" t="str">
        <f>IFERROR(__xludf.DUMMYFUNCTION("""COMPUTED_VALUE"""),"x")</f>
        <v>x</v>
      </c>
      <c r="L1232" s="20" t="str">
        <f>IFERROR(__xludf.DUMMYFUNCTION("""COMPUTED_VALUE"""),"x")</f>
        <v>x</v>
      </c>
      <c r="M1232" s="19" t="str">
        <f>IFERROR(__xludf.DUMMYFUNCTION("""COMPUTED_VALUE"""),"PCM")</f>
        <v>PCM</v>
      </c>
      <c r="N1232" s="19" t="str">
        <f>IFERROR(__xludf.DUMMYFUNCTION("""COMPUTED_VALUE"""),"PRIORIDAD 1 Q3 2023 OCTUBRE")</f>
        <v>PRIORIDAD 1 Q3 2023 OCTUBRE</v>
      </c>
    </row>
    <row r="1233" ht="15.75" customHeight="1">
      <c r="A1233" s="19" t="str">
        <f>IFERROR(__xludf.DUMMYFUNCTION("""COMPUTED_VALUE"""),"AB_4834")</f>
        <v>AB_4834</v>
      </c>
      <c r="B1233" s="19" t="str">
        <f>IFERROR(__xludf.DUMMYFUNCTION("""COMPUTED_VALUE"""),"AB_4834_A")</f>
        <v>AB_4834_A</v>
      </c>
      <c r="C1233" s="19" t="str">
        <f>IFERROR(__xludf.DUMMYFUNCTION("""COMPUTED_VALUE"""),"MA4834")</f>
        <v>MA4834</v>
      </c>
      <c r="D1233" s="19" t="str">
        <f>IFERROR(__xludf.DUMMYFUNCTION("""COMPUTED_VALUE"""),"Purisima Talca")</f>
        <v>Purisima Talca</v>
      </c>
      <c r="E1233" s="19" t="str">
        <f>IFERROR(__xludf.DUMMYFUNCTION("""COMPUTED_VALUE"""),"SITIO RFI")</f>
        <v>SITIO RFI</v>
      </c>
      <c r="F1233" s="19"/>
      <c r="G1233" s="19" t="str">
        <f>IFERROR(__xludf.DUMMYFUNCTION("""COMPUTED_VALUE"""),"x")</f>
        <v>x</v>
      </c>
      <c r="H1233" s="19" t="str">
        <f>IFERROR(__xludf.DUMMYFUNCTION("""COMPUTED_VALUE"""),"x")</f>
        <v>x</v>
      </c>
      <c r="I1233" s="19" t="str">
        <f>IFERROR(__xludf.DUMMYFUNCTION("""COMPUTED_VALUE"""),"x")</f>
        <v>x</v>
      </c>
      <c r="J1233" s="20" t="str">
        <f>IFERROR(__xludf.DUMMYFUNCTION("""COMPUTED_VALUE"""),"x")</f>
        <v>x</v>
      </c>
      <c r="K1233" s="19" t="str">
        <f>IFERROR(__xludf.DUMMYFUNCTION("""COMPUTED_VALUE"""),"x")</f>
        <v>x</v>
      </c>
      <c r="L1233" s="20" t="str">
        <f>IFERROR(__xludf.DUMMYFUNCTION("""COMPUTED_VALUE"""),"x")</f>
        <v>x</v>
      </c>
      <c r="M1233" s="19" t="str">
        <f>IFERROR(__xludf.DUMMYFUNCTION("""COMPUTED_VALUE"""),"PCM")</f>
        <v>PCM</v>
      </c>
      <c r="N1233" s="19" t="str">
        <f>IFERROR(__xludf.DUMMYFUNCTION("""COMPUTED_VALUE"""),"PRIORIDAD 1 Q3 2023 OCTUBRE")</f>
        <v>PRIORIDAD 1 Q3 2023 OCTUBRE</v>
      </c>
    </row>
    <row r="1234" ht="15.75" customHeight="1">
      <c r="A1234" s="19" t="str">
        <f>IFERROR(__xludf.DUMMYFUNCTION("""COMPUTED_VALUE"""),"AB_8224")</f>
        <v>AB_8224</v>
      </c>
      <c r="B1234" s="19" t="str">
        <f>IFERROR(__xludf.DUMMYFUNCTION("""COMPUTED_VALUE"""),"AB_8224_B")</f>
        <v>AB_8224_B</v>
      </c>
      <c r="C1234" s="19" t="str">
        <f>IFERROR(__xludf.DUMMYFUNCTION("""COMPUTED_VALUE"""),"MA8224")</f>
        <v>MA8224</v>
      </c>
      <c r="D1234" s="19" t="str">
        <f>IFERROR(__xludf.DUMMYFUNCTION("""COMPUTED_VALUE"""),"Canelillos Pelluhue")</f>
        <v>Canelillos Pelluhue</v>
      </c>
      <c r="E1234" s="19" t="str">
        <f>IFERROR(__xludf.DUMMYFUNCTION("""COMPUTED_VALUE"""),"SITIO RFI")</f>
        <v>SITIO RFI</v>
      </c>
      <c r="F1234" s="19"/>
      <c r="G1234" s="19" t="str">
        <f>IFERROR(__xludf.DUMMYFUNCTION("""COMPUTED_VALUE"""),"x")</f>
        <v>x</v>
      </c>
      <c r="H1234" s="19" t="str">
        <f>IFERROR(__xludf.DUMMYFUNCTION("""COMPUTED_VALUE"""),"x")</f>
        <v>x</v>
      </c>
      <c r="I1234" s="19" t="str">
        <f>IFERROR(__xludf.DUMMYFUNCTION("""COMPUTED_VALUE"""),"x")</f>
        <v>x</v>
      </c>
      <c r="J1234" s="20" t="str">
        <f>IFERROR(__xludf.DUMMYFUNCTION("""COMPUTED_VALUE"""),"x")</f>
        <v>x</v>
      </c>
      <c r="K1234" s="19" t="str">
        <f>IFERROR(__xludf.DUMMYFUNCTION("""COMPUTED_VALUE"""),"x")</f>
        <v>x</v>
      </c>
      <c r="L1234" s="20" t="str">
        <f>IFERROR(__xludf.DUMMYFUNCTION("""COMPUTED_VALUE"""),"x")</f>
        <v>x</v>
      </c>
      <c r="M1234" s="19" t="str">
        <f>IFERROR(__xludf.DUMMYFUNCTION("""COMPUTED_VALUE"""),"PCM")</f>
        <v>PCM</v>
      </c>
      <c r="N1234" s="19" t="str">
        <f>IFERROR(__xludf.DUMMYFUNCTION("""COMPUTED_VALUE"""),"PRIORIDAD 1 Q3 2023 OCTUBRE")</f>
        <v>PRIORIDAD 1 Q3 2023 OCTUBRE</v>
      </c>
    </row>
    <row r="1235" ht="15.75" customHeight="1">
      <c r="A1235" s="19" t="str">
        <f>IFERROR(__xludf.DUMMYFUNCTION("""COMPUTED_VALUE"""),"AB_8226")</f>
        <v>AB_8226</v>
      </c>
      <c r="B1235" s="19" t="str">
        <f>IFERROR(__xludf.DUMMYFUNCTION("""COMPUTED_VALUE"""),"AB_8226_A")</f>
        <v>AB_8226_A</v>
      </c>
      <c r="C1235" s="19" t="str">
        <f>IFERROR(__xludf.DUMMYFUNCTION("""COMPUTED_VALUE"""),"MA8226")</f>
        <v>MA8226</v>
      </c>
      <c r="D1235" s="19" t="str">
        <f>IFERROR(__xludf.DUMMYFUNCTION("""COMPUTED_VALUE"""),"Rincón de Caune")</f>
        <v>Rincón de Caune</v>
      </c>
      <c r="E1235" s="19" t="str">
        <f>IFERROR(__xludf.DUMMYFUNCTION("""COMPUTED_VALUE"""),"SITIO RFI")</f>
        <v>SITIO RFI</v>
      </c>
      <c r="F1235" s="19"/>
      <c r="G1235" s="19" t="str">
        <f>IFERROR(__xludf.DUMMYFUNCTION("""COMPUTED_VALUE"""),"x")</f>
        <v>x</v>
      </c>
      <c r="H1235" s="19" t="str">
        <f>IFERROR(__xludf.DUMMYFUNCTION("""COMPUTED_VALUE"""),"x")</f>
        <v>x</v>
      </c>
      <c r="I1235" s="19" t="str">
        <f>IFERROR(__xludf.DUMMYFUNCTION("""COMPUTED_VALUE"""),"x")</f>
        <v>x</v>
      </c>
      <c r="J1235" s="20" t="str">
        <f>IFERROR(__xludf.DUMMYFUNCTION("""COMPUTED_VALUE"""),"x")</f>
        <v>x</v>
      </c>
      <c r="K1235" s="19" t="str">
        <f>IFERROR(__xludf.DUMMYFUNCTION("""COMPUTED_VALUE"""),"x")</f>
        <v>x</v>
      </c>
      <c r="L1235" s="20" t="str">
        <f>IFERROR(__xludf.DUMMYFUNCTION("""COMPUTED_VALUE"""),"x")</f>
        <v>x</v>
      </c>
      <c r="M1235" s="19" t="str">
        <f>IFERROR(__xludf.DUMMYFUNCTION("""COMPUTED_VALUE"""),"PCM")</f>
        <v>PCM</v>
      </c>
      <c r="N1235" s="19" t="str">
        <f>IFERROR(__xludf.DUMMYFUNCTION("""COMPUTED_VALUE"""),"PRIORIDAD 1 Q3 2023 OCTUBRE")</f>
        <v>PRIORIDAD 1 Q3 2023 OCTUBRE</v>
      </c>
    </row>
    <row r="1236" ht="15.75" customHeight="1">
      <c r="A1236" s="19" t="str">
        <f>IFERROR(__xludf.DUMMYFUNCTION("""COMPUTED_VALUE"""),"AB_9589")</f>
        <v>AB_9589</v>
      </c>
      <c r="B1236" s="19" t="str">
        <f>IFERROR(__xludf.DUMMYFUNCTION("""COMPUTED_VALUE"""),"AB_9589_B")</f>
        <v>AB_9589_B</v>
      </c>
      <c r="C1236" s="19" t="str">
        <f>IFERROR(__xludf.DUMMYFUNCTION("""COMPUTED_VALUE"""),"MA9589")</f>
        <v>MA9589</v>
      </c>
      <c r="D1236" s="19" t="str">
        <f>IFERROR(__xludf.DUMMYFUNCTION("""COMPUTED_VALUE"""),"El Guapi")</f>
        <v>El Guapi</v>
      </c>
      <c r="E1236" s="19" t="str">
        <f>IFERROR(__xludf.DUMMYFUNCTION("""COMPUTED_VALUE"""),"SITIO RFI")</f>
        <v>SITIO RFI</v>
      </c>
      <c r="F1236" s="19"/>
      <c r="G1236" s="19" t="str">
        <f>IFERROR(__xludf.DUMMYFUNCTION("""COMPUTED_VALUE"""),"x")</f>
        <v>x</v>
      </c>
      <c r="H1236" s="19" t="str">
        <f>IFERROR(__xludf.DUMMYFUNCTION("""COMPUTED_VALUE"""),"x")</f>
        <v>x</v>
      </c>
      <c r="I1236" s="19" t="str">
        <f>IFERROR(__xludf.DUMMYFUNCTION("""COMPUTED_VALUE"""),"x")</f>
        <v>x</v>
      </c>
      <c r="J1236" s="20" t="str">
        <f>IFERROR(__xludf.DUMMYFUNCTION("""COMPUTED_VALUE"""),"x")</f>
        <v>x</v>
      </c>
      <c r="K1236" s="19" t="str">
        <f>IFERROR(__xludf.DUMMYFUNCTION("""COMPUTED_VALUE"""),"x")</f>
        <v>x</v>
      </c>
      <c r="L1236" s="20" t="str">
        <f>IFERROR(__xludf.DUMMYFUNCTION("""COMPUTED_VALUE"""),"x")</f>
        <v>x</v>
      </c>
      <c r="M1236" s="19" t="str">
        <f>IFERROR(__xludf.DUMMYFUNCTION("""COMPUTED_VALUE"""),"PCM")</f>
        <v>PCM</v>
      </c>
      <c r="N1236" s="19" t="str">
        <f>IFERROR(__xludf.DUMMYFUNCTION("""COMPUTED_VALUE"""),"PRIORIDAD 1 Q3 2023 OCTUBRE")</f>
        <v>PRIORIDAD 1 Q3 2023 OCTUBRE</v>
      </c>
    </row>
    <row r="1237" ht="15.75" customHeight="1">
      <c r="A1237" s="19" t="str">
        <f>IFERROR(__xludf.DUMMYFUNCTION("""COMPUTED_VALUE"""),"AB_9922")</f>
        <v>AB_9922</v>
      </c>
      <c r="B1237" s="19" t="str">
        <f>IFERROR(__xludf.DUMMYFUNCTION("""COMPUTED_VALUE"""),"AB_9922_A")</f>
        <v>AB_9922_A</v>
      </c>
      <c r="C1237" s="19" t="str">
        <f>IFERROR(__xludf.DUMMYFUNCTION("""COMPUTED_VALUE"""),"MA9922")</f>
        <v>MA9922</v>
      </c>
      <c r="D1237" s="19" t="str">
        <f>IFERROR(__xludf.DUMMYFUNCTION("""COMPUTED_VALUE"""),"Lago Melado Ruta")</f>
        <v>Lago Melado Ruta</v>
      </c>
      <c r="E1237" s="19" t="str">
        <f>IFERROR(__xludf.DUMMYFUNCTION("""COMPUTED_VALUE"""),"SITIO RFI")</f>
        <v>SITIO RFI</v>
      </c>
      <c r="F1237" s="19"/>
      <c r="G1237" s="19" t="str">
        <f>IFERROR(__xludf.DUMMYFUNCTION("""COMPUTED_VALUE"""),"x")</f>
        <v>x</v>
      </c>
      <c r="H1237" s="19" t="str">
        <f>IFERROR(__xludf.DUMMYFUNCTION("""COMPUTED_VALUE"""),"x")</f>
        <v>x</v>
      </c>
      <c r="I1237" s="19" t="str">
        <f>IFERROR(__xludf.DUMMYFUNCTION("""COMPUTED_VALUE"""),"x")</f>
        <v>x</v>
      </c>
      <c r="J1237" s="20" t="str">
        <f>IFERROR(__xludf.DUMMYFUNCTION("""COMPUTED_VALUE"""),"x")</f>
        <v>x</v>
      </c>
      <c r="K1237" s="19" t="str">
        <f>IFERROR(__xludf.DUMMYFUNCTION("""COMPUTED_VALUE"""),"x")</f>
        <v>x</v>
      </c>
      <c r="L1237" s="20" t="str">
        <f>IFERROR(__xludf.DUMMYFUNCTION("""COMPUTED_VALUE"""),"x")</f>
        <v>x</v>
      </c>
      <c r="M1237" s="19" t="str">
        <f>IFERROR(__xludf.DUMMYFUNCTION("""COMPUTED_VALUE"""),"PP")</f>
        <v>PP</v>
      </c>
      <c r="N1237" s="19" t="str">
        <f>IFERROR(__xludf.DUMMYFUNCTION("""COMPUTED_VALUE"""),"PRIORIDAD 1 Q3 2023 OCTUBRE")</f>
        <v>PRIORIDAD 1 Q3 2023 OCTUBRE</v>
      </c>
    </row>
    <row r="1238" ht="15.75" customHeight="1">
      <c r="A1238" s="19" t="str">
        <f>IFERROR(__xludf.DUMMYFUNCTION("""COMPUTED_VALUE"""),"AB_9923")</f>
        <v>AB_9923</v>
      </c>
      <c r="B1238" s="19" t="str">
        <f>IFERROR(__xludf.DUMMYFUNCTION("""COMPUTED_VALUE"""),"AB_9923_A")</f>
        <v>AB_9923_A</v>
      </c>
      <c r="C1238" s="19" t="str">
        <f>IFERROR(__xludf.DUMMYFUNCTION("""COMPUTED_VALUE"""),"MA9923")</f>
        <v>MA9923</v>
      </c>
      <c r="D1238" s="19" t="str">
        <f>IFERROR(__xludf.DUMMYFUNCTION("""COMPUTED_VALUE"""),"Termas el Medano")</f>
        <v>Termas el Medano</v>
      </c>
      <c r="E1238" s="19" t="str">
        <f>IFERROR(__xludf.DUMMYFUNCTION("""COMPUTED_VALUE"""),"SITIO RFC")</f>
        <v>SITIO RFC</v>
      </c>
      <c r="F1238" s="19"/>
      <c r="G1238" s="19" t="str">
        <f>IFERROR(__xludf.DUMMYFUNCTION("""COMPUTED_VALUE"""),"x")</f>
        <v>x</v>
      </c>
      <c r="H1238" s="19" t="str">
        <f>IFERROR(__xludf.DUMMYFUNCTION("""COMPUTED_VALUE"""),"x")</f>
        <v>x</v>
      </c>
      <c r="I1238" s="19" t="str">
        <f>IFERROR(__xludf.DUMMYFUNCTION("""COMPUTED_VALUE"""),"x")</f>
        <v>x</v>
      </c>
      <c r="J1238" s="20" t="str">
        <f>IFERROR(__xludf.DUMMYFUNCTION("""COMPUTED_VALUE"""),"x")</f>
        <v>x</v>
      </c>
      <c r="K1238" s="19" t="str">
        <f>IFERROR(__xludf.DUMMYFUNCTION("""COMPUTED_VALUE"""),"x")</f>
        <v>x</v>
      </c>
      <c r="L1238" s="20" t="str">
        <f>IFERROR(__xludf.DUMMYFUNCTION("""COMPUTED_VALUE"""),"x")</f>
        <v>x</v>
      </c>
      <c r="M1238" s="19" t="str">
        <f>IFERROR(__xludf.DUMMYFUNCTION("""COMPUTED_VALUE"""),"PP")</f>
        <v>PP</v>
      </c>
      <c r="N1238" s="19" t="str">
        <f>IFERROR(__xludf.DUMMYFUNCTION("""COMPUTED_VALUE"""),"PRIORIDAD 1 Q3 2023 OCTUBRE")</f>
        <v>PRIORIDAD 1 Q3 2023 OCTUBRE</v>
      </c>
    </row>
    <row r="1239" ht="15.75" customHeight="1">
      <c r="A1239" s="19" t="str">
        <f>IFERROR(__xludf.DUMMYFUNCTION("""COMPUTED_VALUE"""),"AB_11315")</f>
        <v>AB_11315</v>
      </c>
      <c r="B1239" s="19" t="str">
        <f>IFERROR(__xludf.DUMMYFUNCTION("""COMPUTED_VALUE"""),"AB_11315_A")</f>
        <v>AB_11315_A</v>
      </c>
      <c r="C1239" s="19" t="str">
        <f>IFERROR(__xludf.DUMMYFUNCTION("""COMPUTED_VALUE"""),"MG11315")</f>
        <v>MG11315</v>
      </c>
      <c r="D1239" s="19" t="str">
        <f>IFERROR(__xludf.DUMMYFUNCTION("""COMPUTED_VALUE"""),"Jose Martinez – Cerda RU")</f>
        <v>Jose Martinez – Cerda RU</v>
      </c>
      <c r="E1239" s="19" t="str">
        <f>IFERROR(__xludf.DUMMYFUNCTION("""COMPUTED_VALUE"""),"SITIO RFI")</f>
        <v>SITIO RFI</v>
      </c>
      <c r="F1239" s="19"/>
      <c r="G1239" s="19" t="str">
        <f>IFERROR(__xludf.DUMMYFUNCTION("""COMPUTED_VALUE"""),"x")</f>
        <v>x</v>
      </c>
      <c r="H1239" s="19" t="str">
        <f>IFERROR(__xludf.DUMMYFUNCTION("""COMPUTED_VALUE"""),"x")</f>
        <v>x</v>
      </c>
      <c r="I1239" s="19" t="str">
        <f>IFERROR(__xludf.DUMMYFUNCTION("""COMPUTED_VALUE"""),"x")</f>
        <v>x</v>
      </c>
      <c r="J1239" s="20" t="str">
        <f>IFERROR(__xludf.DUMMYFUNCTION("""COMPUTED_VALUE"""),"x")</f>
        <v>x</v>
      </c>
      <c r="K1239" s="19" t="str">
        <f>IFERROR(__xludf.DUMMYFUNCTION("""COMPUTED_VALUE"""),"x")</f>
        <v>x</v>
      </c>
      <c r="L1239" s="20" t="str">
        <f>IFERROR(__xludf.DUMMYFUNCTION("""COMPUTED_VALUE"""),"x")</f>
        <v>x</v>
      </c>
      <c r="M1239" s="19" t="str">
        <f>IFERROR(__xludf.DUMMYFUNCTION("""COMPUTED_VALUE"""),"PCM_4")</f>
        <v>PCM_4</v>
      </c>
      <c r="N1239" s="19" t="str">
        <f>IFERROR(__xludf.DUMMYFUNCTION("""COMPUTED_VALUE"""),"PRIORIDAD 3 Q1 2024 MARZO")</f>
        <v>PRIORIDAD 3 Q1 2024 MARZO</v>
      </c>
    </row>
    <row r="1240" ht="15.75" customHeight="1">
      <c r="A1240" s="19" t="str">
        <f>IFERROR(__xludf.DUMMYFUNCTION("""COMPUTED_VALUE"""),"AB_3371")</f>
        <v>AB_3371</v>
      </c>
      <c r="B1240" s="19" t="str">
        <f>IFERROR(__xludf.DUMMYFUNCTION("""COMPUTED_VALUE"""),"AB_3371_G")</f>
        <v>AB_3371_G</v>
      </c>
      <c r="C1240" s="19" t="str">
        <f>IFERROR(__xludf.DUMMYFUNCTION("""COMPUTED_VALUE"""),"MG3371")</f>
        <v>MG3371</v>
      </c>
      <c r="D1240" s="19" t="str">
        <f>IFERROR(__xludf.DUMMYFUNCTION("""COMPUTED_VALUE"""),"Sombrero Centro")</f>
        <v>Sombrero Centro</v>
      </c>
      <c r="E1240" s="19" t="str">
        <f>IFERROR(__xludf.DUMMYFUNCTION("""COMPUTED_VALUE"""),"SITIO RFI")</f>
        <v>SITIO RFI</v>
      </c>
      <c r="F1240" s="19"/>
      <c r="G1240" s="19" t="str">
        <f>IFERROR(__xludf.DUMMYFUNCTION("""COMPUTED_VALUE"""),"x")</f>
        <v>x</v>
      </c>
      <c r="H1240" s="19" t="str">
        <f>IFERROR(__xludf.DUMMYFUNCTION("""COMPUTED_VALUE"""),"x")</f>
        <v>x</v>
      </c>
      <c r="I1240" s="19" t="str">
        <f>IFERROR(__xludf.DUMMYFUNCTION("""COMPUTED_VALUE"""),"x")</f>
        <v>x</v>
      </c>
      <c r="J1240" s="20" t="str">
        <f>IFERROR(__xludf.DUMMYFUNCTION("""COMPUTED_VALUE"""),"x")</f>
        <v>x</v>
      </c>
      <c r="K1240" s="19" t="str">
        <f>IFERROR(__xludf.DUMMYFUNCTION("""COMPUTED_VALUE"""),"x")</f>
        <v>x</v>
      </c>
      <c r="L1240" s="20" t="str">
        <f>IFERROR(__xludf.DUMMYFUNCTION("""COMPUTED_VALUE"""),"x")</f>
        <v>x</v>
      </c>
      <c r="M1240" s="19" t="str">
        <f>IFERROR(__xludf.DUMMYFUNCTION("""COMPUTED_VALUE"""),"PCM")</f>
        <v>PCM</v>
      </c>
      <c r="N1240" s="19" t="str">
        <f>IFERROR(__xludf.DUMMYFUNCTION("""COMPUTED_VALUE"""),"PRIORIDAD 1 Q3 2023 OCTUBRE")</f>
        <v>PRIORIDAD 1 Q3 2023 OCTUBRE</v>
      </c>
    </row>
    <row r="1241" ht="15.75" customHeight="1">
      <c r="A1241" s="19" t="str">
        <f>IFERROR(__xludf.DUMMYFUNCTION("""COMPUTED_VALUE"""),"AB_9446")</f>
        <v>AB_9446</v>
      </c>
      <c r="B1241" s="19" t="str">
        <f>IFERROR(__xludf.DUMMYFUNCTION("""COMPUTED_VALUE"""),"AB_9446_B")</f>
        <v>AB_9446_B</v>
      </c>
      <c r="C1241" s="19" t="str">
        <f>IFERROR(__xludf.DUMMYFUNCTION("""COMPUTED_VALUE"""),"MG9446")</f>
        <v>MG9446</v>
      </c>
      <c r="D1241" s="19" t="str">
        <f>IFERROR(__xludf.DUMMYFUNCTION("""COMPUTED_VALUE"""),"Villa Dorotea")</f>
        <v>Villa Dorotea</v>
      </c>
      <c r="E1241" s="19" t="str">
        <f>IFERROR(__xludf.DUMMYFUNCTION("""COMPUTED_VALUE"""),"SITIO RFC")</f>
        <v>SITIO RFC</v>
      </c>
      <c r="F1241" s="19"/>
      <c r="G1241" s="19" t="str">
        <f>IFERROR(__xludf.DUMMYFUNCTION("""COMPUTED_VALUE"""),"x")</f>
        <v>x</v>
      </c>
      <c r="H1241" s="19" t="str">
        <f>IFERROR(__xludf.DUMMYFUNCTION("""COMPUTED_VALUE"""),"x")</f>
        <v>x</v>
      </c>
      <c r="I1241" s="19" t="str">
        <f>IFERROR(__xludf.DUMMYFUNCTION("""COMPUTED_VALUE"""),"x")</f>
        <v>x</v>
      </c>
      <c r="J1241" s="20" t="str">
        <f>IFERROR(__xludf.DUMMYFUNCTION("""COMPUTED_VALUE"""),"x")</f>
        <v>x</v>
      </c>
      <c r="K1241" s="19" t="str">
        <f>IFERROR(__xludf.DUMMYFUNCTION("""COMPUTED_VALUE"""),"x")</f>
        <v>x</v>
      </c>
      <c r="L1241" s="20" t="str">
        <f>IFERROR(__xludf.DUMMYFUNCTION("""COMPUTED_VALUE"""),"x")</f>
        <v>x</v>
      </c>
      <c r="M1241" s="19" t="str">
        <f>IFERROR(__xludf.DUMMYFUNCTION("""COMPUTED_VALUE"""),"PP")</f>
        <v>PP</v>
      </c>
      <c r="N1241" s="19" t="str">
        <f>IFERROR(__xludf.DUMMYFUNCTION("""COMPUTED_VALUE"""),"PRIORIDAD 1 Q3 2023 OCTUBRE")</f>
        <v>PRIORIDAD 1 Q3 2023 OCTUBRE</v>
      </c>
    </row>
    <row r="1242" ht="15.75" customHeight="1">
      <c r="A1242" s="19" t="str">
        <f>IFERROR(__xludf.DUMMYFUNCTION("""COMPUTED_VALUE"""),"AB_9455")</f>
        <v>AB_9455</v>
      </c>
      <c r="B1242" s="19" t="str">
        <f>IFERROR(__xludf.DUMMYFUNCTION("""COMPUTED_VALUE"""),"AB_9455_C")</f>
        <v>AB_9455_C</v>
      </c>
      <c r="C1242" s="19" t="str">
        <f>IFERROR(__xludf.DUMMYFUNCTION("""COMPUTED_VALUE"""),"MG9455")</f>
        <v>MG9455</v>
      </c>
      <c r="D1242" s="19" t="str">
        <f>IFERROR(__xludf.DUMMYFUNCTION("""COMPUTED_VALUE"""),"Villa Cerro Castillo Torres del Paine")</f>
        <v>Villa Cerro Castillo Torres del Paine</v>
      </c>
      <c r="E1242" s="19" t="str">
        <f>IFERROR(__xludf.DUMMYFUNCTION("""COMPUTED_VALUE"""),"SITIO RFI")</f>
        <v>SITIO RFI</v>
      </c>
      <c r="F1242" s="19"/>
      <c r="G1242" s="19" t="str">
        <f>IFERROR(__xludf.DUMMYFUNCTION("""COMPUTED_VALUE"""),"x")</f>
        <v>x</v>
      </c>
      <c r="H1242" s="19" t="str">
        <f>IFERROR(__xludf.DUMMYFUNCTION("""COMPUTED_VALUE"""),"x")</f>
        <v>x</v>
      </c>
      <c r="I1242" s="19" t="str">
        <f>IFERROR(__xludf.DUMMYFUNCTION("""COMPUTED_VALUE"""),"x")</f>
        <v>x</v>
      </c>
      <c r="J1242" s="20" t="str">
        <f>IFERROR(__xludf.DUMMYFUNCTION("""COMPUTED_VALUE"""),"x")</f>
        <v>x</v>
      </c>
      <c r="K1242" s="19" t="str">
        <f>IFERROR(__xludf.DUMMYFUNCTION("""COMPUTED_VALUE"""),"x")</f>
        <v>x</v>
      </c>
      <c r="L1242" s="20" t="str">
        <f>IFERROR(__xludf.DUMMYFUNCTION("""COMPUTED_VALUE"""),"x")</f>
        <v>x</v>
      </c>
      <c r="M1242" s="19" t="str">
        <f>IFERROR(__xludf.DUMMYFUNCTION("""COMPUTED_VALUE"""),"PCM")</f>
        <v>PCM</v>
      </c>
      <c r="N1242" s="19" t="str">
        <f>IFERROR(__xludf.DUMMYFUNCTION("""COMPUTED_VALUE"""),"PRIORIDAD 1 Q3 2023 OCTUBRE")</f>
        <v>PRIORIDAD 1 Q3 2023 OCTUBRE</v>
      </c>
    </row>
    <row r="1243" ht="15.75" customHeight="1">
      <c r="A1243" s="19" t="str">
        <f>IFERROR(__xludf.DUMMYFUNCTION("""COMPUTED_VALUE"""),"AB_10299")</f>
        <v>AB_10299</v>
      </c>
      <c r="B1243" s="19" t="str">
        <f>IFERROR(__xludf.DUMMYFUNCTION("""COMPUTED_VALUE"""),"AB_10299_A")</f>
        <v>AB_10299_A</v>
      </c>
      <c r="C1243" s="19" t="str">
        <f>IFERROR(__xludf.DUMMYFUNCTION("""COMPUTED_VALUE"""),"NU10299")</f>
        <v>NU10299</v>
      </c>
      <c r="D1243" s="19" t="str">
        <f>IFERROR(__xludf.DUMMYFUNCTION("""COMPUTED_VALUE"""),"Navidad del Carmen")</f>
        <v>Navidad del Carmen</v>
      </c>
      <c r="E1243" s="19" t="str">
        <f>IFERROR(__xludf.DUMMYFUNCTION("""COMPUTED_VALUE"""),"SITIO RFI")</f>
        <v>SITIO RFI</v>
      </c>
      <c r="F1243" s="19"/>
      <c r="G1243" s="19" t="str">
        <f>IFERROR(__xludf.DUMMYFUNCTION("""COMPUTED_VALUE"""),"x")</f>
        <v>x</v>
      </c>
      <c r="H1243" s="19" t="str">
        <f>IFERROR(__xludf.DUMMYFUNCTION("""COMPUTED_VALUE"""),"x")</f>
        <v>x</v>
      </c>
      <c r="I1243" s="19" t="str">
        <f>IFERROR(__xludf.DUMMYFUNCTION("""COMPUTED_VALUE"""),"x")</f>
        <v>x</v>
      </c>
      <c r="J1243" s="20" t="str">
        <f>IFERROR(__xludf.DUMMYFUNCTION("""COMPUTED_VALUE"""),"x")</f>
        <v>x</v>
      </c>
      <c r="K1243" s="19" t="str">
        <f>IFERROR(__xludf.DUMMYFUNCTION("""COMPUTED_VALUE"""),"x")</f>
        <v>x</v>
      </c>
      <c r="L1243" s="20" t="str">
        <f>IFERROR(__xludf.DUMMYFUNCTION("""COMPUTED_VALUE"""),"x")</f>
        <v>x</v>
      </c>
      <c r="M1243" s="19" t="str">
        <f>IFERROR(__xludf.DUMMYFUNCTION("""COMPUTED_VALUE"""),"PCM")</f>
        <v>PCM</v>
      </c>
      <c r="N1243" s="19" t="str">
        <f>IFERROR(__xludf.DUMMYFUNCTION("""COMPUTED_VALUE"""),"PRIORIDAD 1 Q3 2023 OCTUBRE")</f>
        <v>PRIORIDAD 1 Q3 2023 OCTUBRE</v>
      </c>
    </row>
    <row r="1244" ht="15.75" customHeight="1">
      <c r="A1244" s="19" t="str">
        <f>IFERROR(__xludf.DUMMYFUNCTION("""COMPUTED_VALUE"""),"AB_10303")</f>
        <v>AB_10303</v>
      </c>
      <c r="B1244" s="19" t="str">
        <f>IFERROR(__xludf.DUMMYFUNCTION("""COMPUTED_VALUE"""),"AB_10303_A")</f>
        <v>AB_10303_A</v>
      </c>
      <c r="C1244" s="19" t="str">
        <f>IFERROR(__xludf.DUMMYFUNCTION("""COMPUTED_VALUE"""),"NU10303")</f>
        <v>NU10303</v>
      </c>
      <c r="D1244" s="19" t="str">
        <f>IFERROR(__xludf.DUMMYFUNCTION("""COMPUTED_VALUE"""),"Las Canchillas Quillon")</f>
        <v>Las Canchillas Quillon</v>
      </c>
      <c r="E1244" s="19" t="str">
        <f>IFERROR(__xludf.DUMMYFUNCTION("""COMPUTED_VALUE"""),"SITIO RFI")</f>
        <v>SITIO RFI</v>
      </c>
      <c r="F1244" s="19"/>
      <c r="G1244" s="19" t="str">
        <f>IFERROR(__xludf.DUMMYFUNCTION("""COMPUTED_VALUE"""),"x")</f>
        <v>x</v>
      </c>
      <c r="H1244" s="19" t="str">
        <f>IFERROR(__xludf.DUMMYFUNCTION("""COMPUTED_VALUE"""),"x")</f>
        <v>x</v>
      </c>
      <c r="I1244" s="19" t="str">
        <f>IFERROR(__xludf.DUMMYFUNCTION("""COMPUTED_VALUE"""),"x")</f>
        <v>x</v>
      </c>
      <c r="J1244" s="20" t="str">
        <f>IFERROR(__xludf.DUMMYFUNCTION("""COMPUTED_VALUE"""),"x")</f>
        <v>x</v>
      </c>
      <c r="K1244" s="19" t="str">
        <f>IFERROR(__xludf.DUMMYFUNCTION("""COMPUTED_VALUE"""),"x")</f>
        <v>x</v>
      </c>
      <c r="L1244" s="20" t="str">
        <f>IFERROR(__xludf.DUMMYFUNCTION("""COMPUTED_VALUE"""),"x")</f>
        <v>x</v>
      </c>
      <c r="M1244" s="19" t="str">
        <f>IFERROR(__xludf.DUMMYFUNCTION("""COMPUTED_VALUE"""),"PCM")</f>
        <v>PCM</v>
      </c>
      <c r="N1244" s="19" t="str">
        <f>IFERROR(__xludf.DUMMYFUNCTION("""COMPUTED_VALUE"""),"PRIORIDAD 1 Q3 2023 OCTUBRE")</f>
        <v>PRIORIDAD 1 Q3 2023 OCTUBRE</v>
      </c>
    </row>
    <row r="1245" ht="15.75" customHeight="1">
      <c r="A1245" s="19" t="str">
        <f>IFERROR(__xludf.DUMMYFUNCTION("""COMPUTED_VALUE"""),"AB_10306")</f>
        <v>AB_10306</v>
      </c>
      <c r="B1245" s="19" t="str">
        <f>IFERROR(__xludf.DUMMYFUNCTION("""COMPUTED_VALUE"""),"AB_10306_A")</f>
        <v>AB_10306_A</v>
      </c>
      <c r="C1245" s="19" t="str">
        <f>IFERROR(__xludf.DUMMYFUNCTION("""COMPUTED_VALUE"""),"NU10306")</f>
        <v>NU10306</v>
      </c>
      <c r="D1245" s="19" t="str">
        <f>IFERROR(__xludf.DUMMYFUNCTION("""COMPUTED_VALUE"""),"San Miguel San Ignacio")</f>
        <v>San Miguel San Ignacio</v>
      </c>
      <c r="E1245" s="19" t="str">
        <f>IFERROR(__xludf.DUMMYFUNCTION("""COMPUTED_VALUE"""),"SITIO RFI")</f>
        <v>SITIO RFI</v>
      </c>
      <c r="F1245" s="19"/>
      <c r="G1245" s="19" t="str">
        <f>IFERROR(__xludf.DUMMYFUNCTION("""COMPUTED_VALUE"""),"x")</f>
        <v>x</v>
      </c>
      <c r="H1245" s="19" t="str">
        <f>IFERROR(__xludf.DUMMYFUNCTION("""COMPUTED_VALUE"""),"x")</f>
        <v>x</v>
      </c>
      <c r="I1245" s="19" t="str">
        <f>IFERROR(__xludf.DUMMYFUNCTION("""COMPUTED_VALUE"""),"x")</f>
        <v>x</v>
      </c>
      <c r="J1245" s="20" t="str">
        <f>IFERROR(__xludf.DUMMYFUNCTION("""COMPUTED_VALUE"""),"x")</f>
        <v>x</v>
      </c>
      <c r="K1245" s="19" t="str">
        <f>IFERROR(__xludf.DUMMYFUNCTION("""COMPUTED_VALUE"""),"x")</f>
        <v>x</v>
      </c>
      <c r="L1245" s="20" t="str">
        <f>IFERROR(__xludf.DUMMYFUNCTION("""COMPUTED_VALUE"""),"x")</f>
        <v>x</v>
      </c>
      <c r="M1245" s="19" t="str">
        <f>IFERROR(__xludf.DUMMYFUNCTION("""COMPUTED_VALUE"""),"PCM")</f>
        <v>PCM</v>
      </c>
      <c r="N1245" s="19" t="str">
        <f>IFERROR(__xludf.DUMMYFUNCTION("""COMPUTED_VALUE"""),"PRIORIDAD 1 Q3 2023 OCTUBRE")</f>
        <v>PRIORIDAD 1 Q3 2023 OCTUBRE</v>
      </c>
    </row>
    <row r="1246" ht="15.75" customHeight="1">
      <c r="A1246" s="19" t="str">
        <f>IFERROR(__xludf.DUMMYFUNCTION("""COMPUTED_VALUE"""),"AB_10310")</f>
        <v>AB_10310</v>
      </c>
      <c r="B1246" s="19" t="str">
        <f>IFERROR(__xludf.DUMMYFUNCTION("""COMPUTED_VALUE"""),"AB_10310_A")</f>
        <v>AB_10310_A</v>
      </c>
      <c r="C1246" s="19" t="str">
        <f>IFERROR(__xludf.DUMMYFUNCTION("""COMPUTED_VALUE"""),"NU10310")</f>
        <v>NU10310</v>
      </c>
      <c r="D1246" s="19" t="str">
        <f>IFERROR(__xludf.DUMMYFUNCTION("""COMPUTED_VALUE"""),"Vegas de Itata")</f>
        <v>Vegas de Itata</v>
      </c>
      <c r="E1246" s="19" t="str">
        <f>IFERROR(__xludf.DUMMYFUNCTION("""COMPUTED_VALUE"""),"SITIO RFI")</f>
        <v>SITIO RFI</v>
      </c>
      <c r="F1246" s="19"/>
      <c r="G1246" s="19" t="str">
        <f>IFERROR(__xludf.DUMMYFUNCTION("""COMPUTED_VALUE"""),"x")</f>
        <v>x</v>
      </c>
      <c r="H1246" s="19" t="str">
        <f>IFERROR(__xludf.DUMMYFUNCTION("""COMPUTED_VALUE"""),"x")</f>
        <v>x</v>
      </c>
      <c r="I1246" s="19" t="str">
        <f>IFERROR(__xludf.DUMMYFUNCTION("""COMPUTED_VALUE"""),"x")</f>
        <v>x</v>
      </c>
      <c r="J1246" s="20" t="str">
        <f>IFERROR(__xludf.DUMMYFUNCTION("""COMPUTED_VALUE"""),"x")</f>
        <v>x</v>
      </c>
      <c r="K1246" s="19" t="str">
        <f>IFERROR(__xludf.DUMMYFUNCTION("""COMPUTED_VALUE"""),"x")</f>
        <v>x</v>
      </c>
      <c r="L1246" s="20" t="str">
        <f>IFERROR(__xludf.DUMMYFUNCTION("""COMPUTED_VALUE"""),"x")</f>
        <v>x</v>
      </c>
      <c r="M1246" s="19" t="str">
        <f>IFERROR(__xludf.DUMMYFUNCTION("""COMPUTED_VALUE"""),"PCM")</f>
        <v>PCM</v>
      </c>
      <c r="N1246" s="19" t="str">
        <f>IFERROR(__xludf.DUMMYFUNCTION("""COMPUTED_VALUE"""),"PRIORIDAD 1 Q3 2023 OCTUBRE")</f>
        <v>PRIORIDAD 1 Q3 2023 OCTUBRE</v>
      </c>
    </row>
    <row r="1247" ht="15.75" customHeight="1">
      <c r="A1247" s="19" t="str">
        <f>IFERROR(__xludf.DUMMYFUNCTION("""COMPUTED_VALUE"""),"AB_10312")</f>
        <v>AB_10312</v>
      </c>
      <c r="B1247" s="19" t="str">
        <f>IFERROR(__xludf.DUMMYFUNCTION("""COMPUTED_VALUE"""),"AB_10312_A")</f>
        <v>AB_10312_A</v>
      </c>
      <c r="C1247" s="19" t="str">
        <f>IFERROR(__xludf.DUMMYFUNCTION("""COMPUTED_VALUE"""),"NU10312")</f>
        <v>NU10312</v>
      </c>
      <c r="D1247" s="19" t="str">
        <f>IFERROR(__xludf.DUMMYFUNCTION("""COMPUTED_VALUE"""),"Cerro Colpin")</f>
        <v>Cerro Colpin</v>
      </c>
      <c r="E1247" s="19" t="str">
        <f>IFERROR(__xludf.DUMMYFUNCTION("""COMPUTED_VALUE"""),"SITIO RFI")</f>
        <v>SITIO RFI</v>
      </c>
      <c r="F1247" s="19"/>
      <c r="G1247" s="19" t="str">
        <f>IFERROR(__xludf.DUMMYFUNCTION("""COMPUTED_VALUE"""),"x")</f>
        <v>x</v>
      </c>
      <c r="H1247" s="19" t="str">
        <f>IFERROR(__xludf.DUMMYFUNCTION("""COMPUTED_VALUE"""),"x")</f>
        <v>x</v>
      </c>
      <c r="I1247" s="19" t="str">
        <f>IFERROR(__xludf.DUMMYFUNCTION("""COMPUTED_VALUE"""),"x")</f>
        <v>x</v>
      </c>
      <c r="J1247" s="20" t="str">
        <f>IFERROR(__xludf.DUMMYFUNCTION("""COMPUTED_VALUE"""),"x")</f>
        <v>x</v>
      </c>
      <c r="K1247" s="19" t="str">
        <f>IFERROR(__xludf.DUMMYFUNCTION("""COMPUTED_VALUE"""),"x")</f>
        <v>x</v>
      </c>
      <c r="L1247" s="20" t="str">
        <f>IFERROR(__xludf.DUMMYFUNCTION("""COMPUTED_VALUE"""),"x")</f>
        <v>x</v>
      </c>
      <c r="M1247" s="19" t="str">
        <f>IFERROR(__xludf.DUMMYFUNCTION("""COMPUTED_VALUE"""),"PCM")</f>
        <v>PCM</v>
      </c>
      <c r="N1247" s="19" t="str">
        <f>IFERROR(__xludf.DUMMYFUNCTION("""COMPUTED_VALUE"""),"PRIORIDAD 1 Q3 2023 OCTUBRE")</f>
        <v>PRIORIDAD 1 Q3 2023 OCTUBRE</v>
      </c>
    </row>
    <row r="1248" ht="15.75" customHeight="1">
      <c r="A1248" s="19" t="str">
        <f>IFERROR(__xludf.DUMMYFUNCTION("""COMPUTED_VALUE"""),"AB_4016")</f>
        <v>AB_4016</v>
      </c>
      <c r="B1248" s="19" t="str">
        <f>IFERROR(__xludf.DUMMYFUNCTION("""COMPUTED_VALUE"""),"AB_4016_A")</f>
        <v>AB_4016_A</v>
      </c>
      <c r="C1248" s="19" t="str">
        <f>IFERROR(__xludf.DUMMYFUNCTION("""COMPUTED_VALUE"""),"NU4016")</f>
        <v>NU4016</v>
      </c>
      <c r="D1248" s="19" t="str">
        <f>IFERROR(__xludf.DUMMYFUNCTION("""COMPUTED_VALUE"""),"Coelemu - Villa Alegre")</f>
        <v>Coelemu - Villa Alegre</v>
      </c>
      <c r="E1248" s="19" t="str">
        <f>IFERROR(__xludf.DUMMYFUNCTION("""COMPUTED_VALUE"""),"SITIO RFI")</f>
        <v>SITIO RFI</v>
      </c>
      <c r="F1248" s="19"/>
      <c r="G1248" s="19" t="str">
        <f>IFERROR(__xludf.DUMMYFUNCTION("""COMPUTED_VALUE"""),"x")</f>
        <v>x</v>
      </c>
      <c r="H1248" s="19" t="str">
        <f>IFERROR(__xludf.DUMMYFUNCTION("""COMPUTED_VALUE"""),"x")</f>
        <v>x</v>
      </c>
      <c r="I1248" s="19" t="str">
        <f>IFERROR(__xludf.DUMMYFUNCTION("""COMPUTED_VALUE"""),"x")</f>
        <v>x</v>
      </c>
      <c r="J1248" s="20" t="str">
        <f>IFERROR(__xludf.DUMMYFUNCTION("""COMPUTED_VALUE"""),"x")</f>
        <v>x</v>
      </c>
      <c r="K1248" s="19" t="str">
        <f>IFERROR(__xludf.DUMMYFUNCTION("""COMPUTED_VALUE"""),"x")</f>
        <v>x</v>
      </c>
      <c r="L1248" s="20" t="str">
        <f>IFERROR(__xludf.DUMMYFUNCTION("""COMPUTED_VALUE"""),"x")</f>
        <v>x</v>
      </c>
      <c r="M1248" s="19" t="str">
        <f>IFERROR(__xludf.DUMMYFUNCTION("""COMPUTED_VALUE"""),"PCM")</f>
        <v>PCM</v>
      </c>
      <c r="N1248" s="19" t="str">
        <f>IFERROR(__xludf.DUMMYFUNCTION("""COMPUTED_VALUE"""),"PRIORIDAD 1 Q3 2023 OCTUBRE")</f>
        <v>PRIORIDAD 1 Q3 2023 OCTUBRE</v>
      </c>
    </row>
    <row r="1249" ht="15.75" customHeight="1">
      <c r="A1249" s="19" t="str">
        <f>IFERROR(__xludf.DUMMYFUNCTION("""COMPUTED_VALUE"""),"AB_6715")</f>
        <v>AB_6715</v>
      </c>
      <c r="B1249" s="19" t="str">
        <f>IFERROR(__xludf.DUMMYFUNCTION("""COMPUTED_VALUE"""),"AB_6715_C")</f>
        <v>AB_6715_C</v>
      </c>
      <c r="C1249" s="19" t="str">
        <f>IFERROR(__xludf.DUMMYFUNCTION("""COMPUTED_VALUE"""),"NU6715")</f>
        <v>NU6715</v>
      </c>
      <c r="D1249" s="19" t="str">
        <f>IFERROR(__xludf.DUMMYFUNCTION("""COMPUTED_VALUE"""),"Planta Trupan")</f>
        <v>Planta Trupan</v>
      </c>
      <c r="E1249" s="19" t="str">
        <f>IFERROR(__xludf.DUMMYFUNCTION("""COMPUTED_VALUE"""),"SITIO RFI")</f>
        <v>SITIO RFI</v>
      </c>
      <c r="F1249" s="19"/>
      <c r="G1249" s="19" t="str">
        <f>IFERROR(__xludf.DUMMYFUNCTION("""COMPUTED_VALUE"""),"x")</f>
        <v>x</v>
      </c>
      <c r="H1249" s="19" t="str">
        <f>IFERROR(__xludf.DUMMYFUNCTION("""COMPUTED_VALUE"""),"x")</f>
        <v>x</v>
      </c>
      <c r="I1249" s="19" t="str">
        <f>IFERROR(__xludf.DUMMYFUNCTION("""COMPUTED_VALUE"""),"x")</f>
        <v>x</v>
      </c>
      <c r="J1249" s="20" t="str">
        <f>IFERROR(__xludf.DUMMYFUNCTION("""COMPUTED_VALUE"""),"x")</f>
        <v>x</v>
      </c>
      <c r="K1249" s="19" t="str">
        <f>IFERROR(__xludf.DUMMYFUNCTION("""COMPUTED_VALUE"""),"x")</f>
        <v>x</v>
      </c>
      <c r="L1249" s="20" t="str">
        <f>IFERROR(__xludf.DUMMYFUNCTION("""COMPUTED_VALUE"""),"x")</f>
        <v>x</v>
      </c>
      <c r="M1249" s="19" t="str">
        <f>IFERROR(__xludf.DUMMYFUNCTION("""COMPUTED_VALUE"""),"PCM")</f>
        <v>PCM</v>
      </c>
      <c r="N1249" s="19" t="str">
        <f>IFERROR(__xludf.DUMMYFUNCTION("""COMPUTED_VALUE"""),"PRIORIDAD 1 Q3 2023 OCTUBRE")</f>
        <v>PRIORIDAD 1 Q3 2023 OCTUBRE</v>
      </c>
    </row>
    <row r="1250" ht="15.75" customHeight="1">
      <c r="A1250" s="19" t="str">
        <f>IFERROR(__xludf.DUMMYFUNCTION("""COMPUTED_VALUE"""),"AB_10192")</f>
        <v>AB_10192</v>
      </c>
      <c r="B1250" s="19" t="str">
        <f>IFERROR(__xludf.DUMMYFUNCTION("""COMPUTED_VALUE"""),"AB_10192_B")</f>
        <v>AB_10192_B</v>
      </c>
      <c r="C1250" s="19" t="str">
        <f>IFERROR(__xludf.DUMMYFUNCTION("""COMPUTED_VALUE"""),"OH10192")</f>
        <v>OH10192</v>
      </c>
      <c r="D1250" s="19" t="str">
        <f>IFERROR(__xludf.DUMMYFUNCTION("""COMPUTED_VALUE"""),"Nilahue El Membrillo")</f>
        <v>Nilahue El Membrillo</v>
      </c>
      <c r="E1250" s="19" t="str">
        <f>IFERROR(__xludf.DUMMYFUNCTION("""COMPUTED_VALUE"""),"SITIO RFI")</f>
        <v>SITIO RFI</v>
      </c>
      <c r="F1250" s="19"/>
      <c r="G1250" s="19" t="str">
        <f>IFERROR(__xludf.DUMMYFUNCTION("""COMPUTED_VALUE"""),"x")</f>
        <v>x</v>
      </c>
      <c r="H1250" s="19" t="str">
        <f>IFERROR(__xludf.DUMMYFUNCTION("""COMPUTED_VALUE"""),"x")</f>
        <v>x</v>
      </c>
      <c r="I1250" s="19" t="str">
        <f>IFERROR(__xludf.DUMMYFUNCTION("""COMPUTED_VALUE"""),"x")</f>
        <v>x</v>
      </c>
      <c r="J1250" s="20" t="str">
        <f>IFERROR(__xludf.DUMMYFUNCTION("""COMPUTED_VALUE"""),"x")</f>
        <v>x</v>
      </c>
      <c r="K1250" s="19" t="str">
        <f>IFERROR(__xludf.DUMMYFUNCTION("""COMPUTED_VALUE"""),"x")</f>
        <v>x</v>
      </c>
      <c r="L1250" s="20" t="str">
        <f>IFERROR(__xludf.DUMMYFUNCTION("""COMPUTED_VALUE"""),"x")</f>
        <v>x</v>
      </c>
      <c r="M1250" s="19" t="str">
        <f>IFERROR(__xludf.DUMMYFUNCTION("""COMPUTED_VALUE"""),"PCM")</f>
        <v>PCM</v>
      </c>
      <c r="N1250" s="19" t="str">
        <f>IFERROR(__xludf.DUMMYFUNCTION("""COMPUTED_VALUE"""),"PRIORIDAD 1 Q3 2023 OCTUBRE")</f>
        <v>PRIORIDAD 1 Q3 2023 OCTUBRE</v>
      </c>
    </row>
    <row r="1251" ht="15.75" customHeight="1">
      <c r="A1251" s="19" t="str">
        <f>IFERROR(__xludf.DUMMYFUNCTION("""COMPUTED_VALUE"""),"AB_10209")</f>
        <v>AB_10209</v>
      </c>
      <c r="B1251" s="19" t="str">
        <f>IFERROR(__xludf.DUMMYFUNCTION("""COMPUTED_VALUE"""),"AB_10209_A")</f>
        <v>AB_10209_A</v>
      </c>
      <c r="C1251" s="19" t="str">
        <f>IFERROR(__xludf.DUMMYFUNCTION("""COMPUTED_VALUE"""),"OH10209")</f>
        <v>OH10209</v>
      </c>
      <c r="D1251" s="19" t="str">
        <f>IFERROR(__xludf.DUMMYFUNCTION("""COMPUTED_VALUE"""),"Alcones Marchihue")</f>
        <v>Alcones Marchihue</v>
      </c>
      <c r="E1251" s="19" t="str">
        <f>IFERROR(__xludf.DUMMYFUNCTION("""COMPUTED_VALUE"""),"SITIO RFI")</f>
        <v>SITIO RFI</v>
      </c>
      <c r="F1251" s="19"/>
      <c r="G1251" s="19" t="str">
        <f>IFERROR(__xludf.DUMMYFUNCTION("""COMPUTED_VALUE"""),"x")</f>
        <v>x</v>
      </c>
      <c r="H1251" s="19" t="str">
        <f>IFERROR(__xludf.DUMMYFUNCTION("""COMPUTED_VALUE"""),"x")</f>
        <v>x</v>
      </c>
      <c r="I1251" s="19" t="str">
        <f>IFERROR(__xludf.DUMMYFUNCTION("""COMPUTED_VALUE"""),"x")</f>
        <v>x</v>
      </c>
      <c r="J1251" s="20" t="str">
        <f>IFERROR(__xludf.DUMMYFUNCTION("""COMPUTED_VALUE"""),"x")</f>
        <v>x</v>
      </c>
      <c r="K1251" s="19" t="str">
        <f>IFERROR(__xludf.DUMMYFUNCTION("""COMPUTED_VALUE"""),"x")</f>
        <v>x</v>
      </c>
      <c r="L1251" s="20" t="str">
        <f>IFERROR(__xludf.DUMMYFUNCTION("""COMPUTED_VALUE"""),"x")</f>
        <v>x</v>
      </c>
      <c r="M1251" s="19" t="str">
        <f>IFERROR(__xludf.DUMMYFUNCTION("""COMPUTED_VALUE"""),"PCM")</f>
        <v>PCM</v>
      </c>
      <c r="N1251" s="19" t="str">
        <f>IFERROR(__xludf.DUMMYFUNCTION("""COMPUTED_VALUE"""),"PRIORIDAD 1 Q3 2023 OCTUBRE")</f>
        <v>PRIORIDAD 1 Q3 2023 OCTUBRE</v>
      </c>
    </row>
    <row r="1252" ht="15.75" customHeight="1">
      <c r="A1252" s="19" t="str">
        <f>IFERROR(__xludf.DUMMYFUNCTION("""COMPUTED_VALUE"""),"AB_10236")</f>
        <v>AB_10236</v>
      </c>
      <c r="B1252" s="19" t="str">
        <f>IFERROR(__xludf.DUMMYFUNCTION("""COMPUTED_VALUE"""),"AB_10236_B")</f>
        <v>AB_10236_B</v>
      </c>
      <c r="C1252" s="19" t="str">
        <f>IFERROR(__xludf.DUMMYFUNCTION("""COMPUTED_VALUE"""),"OH10236")</f>
        <v>OH10236</v>
      </c>
      <c r="D1252" s="19" t="str">
        <f>IFERROR(__xludf.DUMMYFUNCTION("""COMPUTED_VALUE"""),"Litueche La Aguada")</f>
        <v>Litueche La Aguada</v>
      </c>
      <c r="E1252" s="19" t="str">
        <f>IFERROR(__xludf.DUMMYFUNCTION("""COMPUTED_VALUE"""),"DETENIDO SAC")</f>
        <v>DETENIDO SAC</v>
      </c>
      <c r="F1252" s="19"/>
      <c r="G1252" s="19" t="str">
        <f>IFERROR(__xludf.DUMMYFUNCTION("""COMPUTED_VALUE"""),"x")</f>
        <v>x</v>
      </c>
      <c r="H1252" s="19" t="str">
        <f>IFERROR(__xludf.DUMMYFUNCTION("""COMPUTED_VALUE"""),"x")</f>
        <v>x</v>
      </c>
      <c r="I1252" s="19" t="str">
        <f>IFERROR(__xludf.DUMMYFUNCTION("""COMPUTED_VALUE"""),"x")</f>
        <v>x</v>
      </c>
      <c r="J1252" s="20" t="str">
        <f>IFERROR(__xludf.DUMMYFUNCTION("""COMPUTED_VALUE"""),"x")</f>
        <v>x</v>
      </c>
      <c r="K1252" s="19" t="str">
        <f>IFERROR(__xludf.DUMMYFUNCTION("""COMPUTED_VALUE"""),"x")</f>
        <v>x</v>
      </c>
      <c r="L1252" s="20" t="str">
        <f>IFERROR(__xludf.DUMMYFUNCTION("""COMPUTED_VALUE"""),"x")</f>
        <v>x</v>
      </c>
      <c r="M1252" s="19" t="str">
        <f>IFERROR(__xludf.DUMMYFUNCTION("""COMPUTED_VALUE"""),"PCM")</f>
        <v>PCM</v>
      </c>
      <c r="N1252" s="19" t="str">
        <f>IFERROR(__xludf.DUMMYFUNCTION("""COMPUTED_VALUE"""),"PRIORIDAD 1 Q3 2023 OCTUBRE")</f>
        <v>PRIORIDAD 1 Q3 2023 OCTUBRE</v>
      </c>
    </row>
    <row r="1253" ht="15.75" customHeight="1">
      <c r="A1253" s="19" t="str">
        <f>IFERROR(__xludf.DUMMYFUNCTION("""COMPUTED_VALUE"""),"AB_10663")</f>
        <v>AB_10663</v>
      </c>
      <c r="B1253" s="19" t="str">
        <f>IFERROR(__xludf.DUMMYFUNCTION("""COMPUTED_VALUE"""),"AB_10663_B")</f>
        <v>AB_10663_B</v>
      </c>
      <c r="C1253" s="19" t="str">
        <f>IFERROR(__xludf.DUMMYFUNCTION("""COMPUTED_VALUE"""),"OH10663")</f>
        <v>OH10663</v>
      </c>
      <c r="D1253" s="19" t="str">
        <f>IFERROR(__xludf.DUMMYFUNCTION("""COMPUTED_VALUE"""),"Zañartu Rancagua NF RU")</f>
        <v>Zañartu Rancagua NF RU</v>
      </c>
      <c r="E1253" s="19" t="str">
        <f>IFERROR(__xludf.DUMMYFUNCTION("""COMPUTED_VALUE"""),"SITIO RFI")</f>
        <v>SITIO RFI</v>
      </c>
      <c r="F1253" s="19"/>
      <c r="G1253" s="19" t="str">
        <f>IFERROR(__xludf.DUMMYFUNCTION("""COMPUTED_VALUE"""),"x")</f>
        <v>x</v>
      </c>
      <c r="H1253" s="19" t="str">
        <f>IFERROR(__xludf.DUMMYFUNCTION("""COMPUTED_VALUE"""),"x")</f>
        <v>x</v>
      </c>
      <c r="I1253" s="19" t="str">
        <f>IFERROR(__xludf.DUMMYFUNCTION("""COMPUTED_VALUE"""),"x")</f>
        <v>x</v>
      </c>
      <c r="J1253" s="20" t="str">
        <f>IFERROR(__xludf.DUMMYFUNCTION("""COMPUTED_VALUE"""),"x")</f>
        <v>x</v>
      </c>
      <c r="K1253" s="19" t="str">
        <f>IFERROR(__xludf.DUMMYFUNCTION("""COMPUTED_VALUE"""),"x")</f>
        <v>x</v>
      </c>
      <c r="L1253" s="20" t="str">
        <f>IFERROR(__xludf.DUMMYFUNCTION("""COMPUTED_VALUE"""),"x")</f>
        <v>x</v>
      </c>
      <c r="M1253" s="19" t="str">
        <f>IFERROR(__xludf.DUMMYFUNCTION("""COMPUTED_VALUE"""),"PCM")</f>
        <v>PCM</v>
      </c>
      <c r="N1253" s="19" t="str">
        <f>IFERROR(__xludf.DUMMYFUNCTION("""COMPUTED_VALUE"""),"PRIORIDAD 1 Q3 2023 OCTUBRE")</f>
        <v>PRIORIDAD 1 Q3 2023 OCTUBRE</v>
      </c>
    </row>
    <row r="1254" ht="15.75" customHeight="1">
      <c r="A1254" s="19" t="str">
        <f>IFERROR(__xludf.DUMMYFUNCTION("""COMPUTED_VALUE"""),"AB_11093")</f>
        <v>AB_11093</v>
      </c>
      <c r="B1254" s="19" t="str">
        <f>IFERROR(__xludf.DUMMYFUNCTION("""COMPUTED_VALUE"""),"AB_11093_B")</f>
        <v>AB_11093_B</v>
      </c>
      <c r="C1254" s="19" t="str">
        <f>IFERROR(__xludf.DUMMYFUNCTION("""COMPUTED_VALUE"""),"OH11093")</f>
        <v>OH11093</v>
      </c>
      <c r="D1254" s="19" t="str">
        <f>IFERROR(__xludf.DUMMYFUNCTION("""COMPUTED_VALUE"""),"Las Cabras Los Quillayes Norte")</f>
        <v>Las Cabras Los Quillayes Norte</v>
      </c>
      <c r="E1254" s="19" t="str">
        <f>IFERROR(__xludf.DUMMYFUNCTION("""COMPUTED_VALUE"""),"SITIO RFC")</f>
        <v>SITIO RFC</v>
      </c>
      <c r="F1254" s="19"/>
      <c r="G1254" s="19" t="str">
        <f>IFERROR(__xludf.DUMMYFUNCTION("""COMPUTED_VALUE"""),"x")</f>
        <v>x</v>
      </c>
      <c r="H1254" s="19" t="str">
        <f>IFERROR(__xludf.DUMMYFUNCTION("""COMPUTED_VALUE"""),"x")</f>
        <v>x</v>
      </c>
      <c r="I1254" s="19" t="str">
        <f>IFERROR(__xludf.DUMMYFUNCTION("""COMPUTED_VALUE"""),"x")</f>
        <v>x</v>
      </c>
      <c r="J1254" s="20" t="str">
        <f>IFERROR(__xludf.DUMMYFUNCTION("""COMPUTED_VALUE"""),"x")</f>
        <v>x</v>
      </c>
      <c r="K1254" s="19" t="str">
        <f>IFERROR(__xludf.DUMMYFUNCTION("""COMPUTED_VALUE"""),"x")</f>
        <v>x</v>
      </c>
      <c r="L1254" s="20" t="str">
        <f>IFERROR(__xludf.DUMMYFUNCTION("""COMPUTED_VALUE"""),"x")</f>
        <v>x</v>
      </c>
      <c r="M1254" s="19" t="str">
        <f>IFERROR(__xludf.DUMMYFUNCTION("""COMPUTED_VALUE"""),"PCM_2")</f>
        <v>PCM_2</v>
      </c>
      <c r="N1254" s="19" t="str">
        <f>IFERROR(__xludf.DUMMYFUNCTION("""COMPUTED_VALUE"""),"PRIORIDAD 1 Q3 2023 OCTUBRE")</f>
        <v>PRIORIDAD 1 Q3 2023 OCTUBRE</v>
      </c>
    </row>
    <row r="1255" ht="15.75" customHeight="1">
      <c r="A1255" s="19" t="str">
        <f>IFERROR(__xludf.DUMMYFUNCTION("""COMPUTED_VALUE"""),"AB_11202")</f>
        <v>AB_11202</v>
      </c>
      <c r="B1255" s="19" t="str">
        <f>IFERROR(__xludf.DUMMYFUNCTION("""COMPUTED_VALUE"""),"AB_11202_B")</f>
        <v>AB_11202_B</v>
      </c>
      <c r="C1255" s="19" t="str">
        <f>IFERROR(__xludf.DUMMYFUNCTION("""COMPUTED_VALUE"""),"OH11202")</f>
        <v>OH11202</v>
      </c>
      <c r="D1255" s="19" t="str">
        <f>IFERROR(__xludf.DUMMYFUNCTION("""COMPUTED_VALUE"""),"Independencia Rengo RU")</f>
        <v>Independencia Rengo RU</v>
      </c>
      <c r="E1255" s="19" t="str">
        <f>IFERROR(__xludf.DUMMYFUNCTION("""COMPUTED_VALUE"""),"SITIO RFI")</f>
        <v>SITIO RFI</v>
      </c>
      <c r="F1255" s="19"/>
      <c r="G1255" s="19" t="str">
        <f>IFERROR(__xludf.DUMMYFUNCTION("""COMPUTED_VALUE"""),"x")</f>
        <v>x</v>
      </c>
      <c r="H1255" s="19" t="str">
        <f>IFERROR(__xludf.DUMMYFUNCTION("""COMPUTED_VALUE"""),"x")</f>
        <v>x</v>
      </c>
      <c r="I1255" s="19" t="str">
        <f>IFERROR(__xludf.DUMMYFUNCTION("""COMPUTED_VALUE"""),"x")</f>
        <v>x</v>
      </c>
      <c r="J1255" s="20" t="str">
        <f>IFERROR(__xludf.DUMMYFUNCTION("""COMPUTED_VALUE"""),"x")</f>
        <v>x</v>
      </c>
      <c r="K1255" s="19" t="str">
        <f>IFERROR(__xludf.DUMMYFUNCTION("""COMPUTED_VALUE"""),"x")</f>
        <v>x</v>
      </c>
      <c r="L1255" s="20" t="str">
        <f>IFERROR(__xludf.DUMMYFUNCTION("""COMPUTED_VALUE"""),"x")</f>
        <v>x</v>
      </c>
      <c r="M1255" s="19" t="str">
        <f>IFERROR(__xludf.DUMMYFUNCTION("""COMPUTED_VALUE"""),"PCM_5")</f>
        <v>PCM_5</v>
      </c>
      <c r="N1255" s="19" t="str">
        <f>IFERROR(__xludf.DUMMYFUNCTION("""COMPUTED_VALUE"""),"PCM_5")</f>
        <v>PCM_5</v>
      </c>
    </row>
    <row r="1256" ht="15.75" customHeight="1">
      <c r="A1256" s="19" t="str">
        <f>IFERROR(__xludf.DUMMYFUNCTION("""COMPUTED_VALUE"""),"AB_11205")</f>
        <v>AB_11205</v>
      </c>
      <c r="B1256" s="19" t="str">
        <f>IFERROR(__xludf.DUMMYFUNCTION("""COMPUTED_VALUE"""),"AB_11205_A")</f>
        <v>AB_11205_A</v>
      </c>
      <c r="C1256" s="19" t="str">
        <f>IFERROR(__xludf.DUMMYFUNCTION("""COMPUTED_VALUE"""),"OH11205")</f>
        <v>OH11205</v>
      </c>
      <c r="D1256" s="19" t="str">
        <f>IFERROR(__xludf.DUMMYFUNCTION("""COMPUTED_VALUE"""),"Olivar Alto RU")</f>
        <v>Olivar Alto RU</v>
      </c>
      <c r="E1256" s="19" t="str">
        <f>IFERROR(__xludf.DUMMYFUNCTION("""COMPUTED_VALUE"""),"SITIO RFI")</f>
        <v>SITIO RFI</v>
      </c>
      <c r="F1256" s="19"/>
      <c r="G1256" s="19" t="str">
        <f>IFERROR(__xludf.DUMMYFUNCTION("""COMPUTED_VALUE"""),"x")</f>
        <v>x</v>
      </c>
      <c r="H1256" s="19" t="str">
        <f>IFERROR(__xludf.DUMMYFUNCTION("""COMPUTED_VALUE"""),"x")</f>
        <v>x</v>
      </c>
      <c r="I1256" s="19" t="str">
        <f>IFERROR(__xludf.DUMMYFUNCTION("""COMPUTED_VALUE"""),"x")</f>
        <v>x</v>
      </c>
      <c r="J1256" s="20" t="str">
        <f>IFERROR(__xludf.DUMMYFUNCTION("""COMPUTED_VALUE"""),"x")</f>
        <v>x</v>
      </c>
      <c r="K1256" s="19" t="str">
        <f>IFERROR(__xludf.DUMMYFUNCTION("""COMPUTED_VALUE"""),"x")</f>
        <v>x</v>
      </c>
      <c r="L1256" s="20" t="str">
        <f>IFERROR(__xludf.DUMMYFUNCTION("""COMPUTED_VALUE"""),"x")</f>
        <v>x</v>
      </c>
      <c r="M1256" s="19" t="str">
        <f>IFERROR(__xludf.DUMMYFUNCTION("""COMPUTED_VALUE"""),"PCM_5")</f>
        <v>PCM_5</v>
      </c>
      <c r="N1256" s="19" t="str">
        <f>IFERROR(__xludf.DUMMYFUNCTION("""COMPUTED_VALUE"""),"PCM_5")</f>
        <v>PCM_5</v>
      </c>
    </row>
    <row r="1257" ht="15.75" customHeight="1">
      <c r="A1257" s="19" t="str">
        <f>IFERROR(__xludf.DUMMYFUNCTION("""COMPUTED_VALUE"""),"AB_11206")</f>
        <v>AB_11206</v>
      </c>
      <c r="B1257" s="19" t="str">
        <f>IFERROR(__xludf.DUMMYFUNCTION("""COMPUTED_VALUE"""),"AB_11206_B")</f>
        <v>AB_11206_B</v>
      </c>
      <c r="C1257" s="19" t="str">
        <f>IFERROR(__xludf.DUMMYFUNCTION("""COMPUTED_VALUE"""),"OH11206")</f>
        <v>OH11206</v>
      </c>
      <c r="D1257" s="19" t="str">
        <f>IFERROR(__xludf.DUMMYFUNCTION("""COMPUTED_VALUE"""),"ROSARIO RU")</f>
        <v>ROSARIO RU</v>
      </c>
      <c r="E1257" s="19" t="str">
        <f>IFERROR(__xludf.DUMMYFUNCTION("""COMPUTED_VALUE"""),"SITIO RFI")</f>
        <v>SITIO RFI</v>
      </c>
      <c r="F1257" s="19"/>
      <c r="G1257" s="19" t="str">
        <f>IFERROR(__xludf.DUMMYFUNCTION("""COMPUTED_VALUE"""),"x")</f>
        <v>x</v>
      </c>
      <c r="H1257" s="19" t="str">
        <f>IFERROR(__xludf.DUMMYFUNCTION("""COMPUTED_VALUE"""),"x")</f>
        <v>x</v>
      </c>
      <c r="I1257" s="19" t="str">
        <f>IFERROR(__xludf.DUMMYFUNCTION("""COMPUTED_VALUE"""),"x")</f>
        <v>x</v>
      </c>
      <c r="J1257" s="20" t="str">
        <f>IFERROR(__xludf.DUMMYFUNCTION("""COMPUTED_VALUE"""),"x")</f>
        <v>x</v>
      </c>
      <c r="K1257" s="19" t="str">
        <f>IFERROR(__xludf.DUMMYFUNCTION("""COMPUTED_VALUE"""),"x")</f>
        <v>x</v>
      </c>
      <c r="L1257" s="20" t="str">
        <f>IFERROR(__xludf.DUMMYFUNCTION("""COMPUTED_VALUE"""),"x")</f>
        <v>x</v>
      </c>
      <c r="M1257" s="19" t="str">
        <f>IFERROR(__xludf.DUMMYFUNCTION("""COMPUTED_VALUE"""),"PCM_5")</f>
        <v>PCM_5</v>
      </c>
      <c r="N1257" s="19" t="str">
        <f>IFERROR(__xludf.DUMMYFUNCTION("""COMPUTED_VALUE"""),"PCM_5")</f>
        <v>PCM_5</v>
      </c>
    </row>
    <row r="1258" ht="15.75" customHeight="1">
      <c r="A1258" s="19" t="str">
        <f>IFERROR(__xludf.DUMMYFUNCTION("""COMPUTED_VALUE"""),"AB_11456")</f>
        <v>AB_11456</v>
      </c>
      <c r="B1258" s="19" t="str">
        <f>IFERROR(__xludf.DUMMYFUNCTION("""COMPUTED_VALUE"""),"AB_11456_B")</f>
        <v>AB_11456_B</v>
      </c>
      <c r="C1258" s="19" t="str">
        <f>IFERROR(__xludf.DUMMYFUNCTION("""COMPUTED_VALUE"""),"OH11456")</f>
        <v>OH11456</v>
      </c>
      <c r="D1258" s="19" t="str">
        <f>IFERROR(__xludf.DUMMYFUNCTION("""COMPUTED_VALUE"""),"Urriola Rengo")</f>
        <v>Urriola Rengo</v>
      </c>
      <c r="E1258" s="19" t="str">
        <f>IFERROR(__xludf.DUMMYFUNCTION("""COMPUTED_VALUE"""),"SITIO RFI")</f>
        <v>SITIO RFI</v>
      </c>
      <c r="F1258" s="19"/>
      <c r="G1258" s="19" t="str">
        <f>IFERROR(__xludf.DUMMYFUNCTION("""COMPUTED_VALUE"""),"x")</f>
        <v>x</v>
      </c>
      <c r="H1258" s="19" t="str">
        <f>IFERROR(__xludf.DUMMYFUNCTION("""COMPUTED_VALUE"""),"x")</f>
        <v>x</v>
      </c>
      <c r="I1258" s="19" t="str">
        <f>IFERROR(__xludf.DUMMYFUNCTION("""COMPUTED_VALUE"""),"x")</f>
        <v>x</v>
      </c>
      <c r="J1258" s="20" t="str">
        <f>IFERROR(__xludf.DUMMYFUNCTION("""COMPUTED_VALUE"""),"x")</f>
        <v>x</v>
      </c>
      <c r="K1258" s="19" t="str">
        <f>IFERROR(__xludf.DUMMYFUNCTION("""COMPUTED_VALUE"""),"x")</f>
        <v>x</v>
      </c>
      <c r="L1258" s="20" t="str">
        <f>IFERROR(__xludf.DUMMYFUNCTION("""COMPUTED_VALUE"""),"x")</f>
        <v>x</v>
      </c>
      <c r="M1258" s="19" t="str">
        <f>IFERROR(__xludf.DUMMYFUNCTION("""COMPUTED_VALUE"""),"PCM_2")</f>
        <v>PCM_2</v>
      </c>
      <c r="N1258" s="19" t="str">
        <f>IFERROR(__xludf.DUMMYFUNCTION("""COMPUTED_VALUE"""),"PRIORIDAD 1 Q3 2023 OCTUBRE")</f>
        <v>PRIORIDAD 1 Q3 2023 OCTUBRE</v>
      </c>
    </row>
    <row r="1259" ht="15.75" customHeight="1">
      <c r="A1259" s="19" t="str">
        <f>IFERROR(__xludf.DUMMYFUNCTION("""COMPUTED_VALUE"""),"AB_1400")</f>
        <v>AB_1400</v>
      </c>
      <c r="B1259" s="19" t="str">
        <f>IFERROR(__xludf.DUMMYFUNCTION("""COMPUTED_VALUE"""),"AB_1400_C")</f>
        <v>AB_1400_C</v>
      </c>
      <c r="C1259" s="19" t="str">
        <f>IFERROR(__xludf.DUMMYFUNCTION("""COMPUTED_VALUE"""),"OH1400")</f>
        <v>OH1400</v>
      </c>
      <c r="D1259" s="19" t="str">
        <f>IFERROR(__xludf.DUMMYFUNCTION("""COMPUTED_VALUE"""),"San Luis Placilla")</f>
        <v>San Luis Placilla</v>
      </c>
      <c r="E1259" s="19" t="str">
        <f>IFERROR(__xludf.DUMMYFUNCTION("""COMPUTED_VALUE"""),"SITIO RFI")</f>
        <v>SITIO RFI</v>
      </c>
      <c r="F1259" s="19"/>
      <c r="G1259" s="19" t="str">
        <f>IFERROR(__xludf.DUMMYFUNCTION("""COMPUTED_VALUE"""),"x")</f>
        <v>x</v>
      </c>
      <c r="H1259" s="19" t="str">
        <f>IFERROR(__xludf.DUMMYFUNCTION("""COMPUTED_VALUE"""),"x")</f>
        <v>x</v>
      </c>
      <c r="I1259" s="19" t="str">
        <f>IFERROR(__xludf.DUMMYFUNCTION("""COMPUTED_VALUE"""),"x")</f>
        <v>x</v>
      </c>
      <c r="J1259" s="20" t="str">
        <f>IFERROR(__xludf.DUMMYFUNCTION("""COMPUTED_VALUE"""),"x")</f>
        <v>x</v>
      </c>
      <c r="K1259" s="19" t="str">
        <f>IFERROR(__xludf.DUMMYFUNCTION("""COMPUTED_VALUE"""),"x")</f>
        <v>x</v>
      </c>
      <c r="L1259" s="20" t="str">
        <f>IFERROR(__xludf.DUMMYFUNCTION("""COMPUTED_VALUE"""),"x")</f>
        <v>x</v>
      </c>
      <c r="M1259" s="19" t="str">
        <f>IFERROR(__xludf.DUMMYFUNCTION("""COMPUTED_VALUE"""),"PCM")</f>
        <v>PCM</v>
      </c>
      <c r="N1259" s="19" t="str">
        <f>IFERROR(__xludf.DUMMYFUNCTION("""COMPUTED_VALUE"""),"PRIORIDAD 1 Q3 2023 OCTUBRE")</f>
        <v>PRIORIDAD 1 Q3 2023 OCTUBRE</v>
      </c>
    </row>
    <row r="1260" ht="15.75" customHeight="1">
      <c r="A1260" s="19" t="str">
        <f>IFERROR(__xludf.DUMMYFUNCTION("""COMPUTED_VALUE"""),"AB_1692")</f>
        <v>AB_1692</v>
      </c>
      <c r="B1260" s="19" t="str">
        <f>IFERROR(__xludf.DUMMYFUNCTION("""COMPUTED_VALUE"""),"AB_1692_B")</f>
        <v>AB_1692_B</v>
      </c>
      <c r="C1260" s="19" t="str">
        <f>IFERROR(__xludf.DUMMYFUNCTION("""COMPUTED_VALUE"""),"OH1692")</f>
        <v>OH1692</v>
      </c>
      <c r="D1260" s="19" t="str">
        <f>IFERROR(__xludf.DUMMYFUNCTION("""COMPUTED_VALUE"""),"Cantarrana Malloa")</f>
        <v>Cantarrana Malloa</v>
      </c>
      <c r="E1260" s="19" t="str">
        <f>IFERROR(__xludf.DUMMYFUNCTION("""COMPUTED_VALUE"""),"SITIO RFI")</f>
        <v>SITIO RFI</v>
      </c>
      <c r="F1260" s="19"/>
      <c r="G1260" s="19" t="str">
        <f>IFERROR(__xludf.DUMMYFUNCTION("""COMPUTED_VALUE"""),"x")</f>
        <v>x</v>
      </c>
      <c r="H1260" s="19" t="str">
        <f>IFERROR(__xludf.DUMMYFUNCTION("""COMPUTED_VALUE"""),"x")</f>
        <v>x</v>
      </c>
      <c r="I1260" s="19" t="str">
        <f>IFERROR(__xludf.DUMMYFUNCTION("""COMPUTED_VALUE"""),"x")</f>
        <v>x</v>
      </c>
      <c r="J1260" s="20" t="str">
        <f>IFERROR(__xludf.DUMMYFUNCTION("""COMPUTED_VALUE"""),"x")</f>
        <v>x</v>
      </c>
      <c r="K1260" s="19" t="str">
        <f>IFERROR(__xludf.DUMMYFUNCTION("""COMPUTED_VALUE"""),"x")</f>
        <v>x</v>
      </c>
      <c r="L1260" s="20" t="str">
        <f>IFERROR(__xludf.DUMMYFUNCTION("""COMPUTED_VALUE"""),"x")</f>
        <v>x</v>
      </c>
      <c r="M1260" s="19" t="str">
        <f>IFERROR(__xludf.DUMMYFUNCTION("""COMPUTED_VALUE"""),"PCM")</f>
        <v>PCM</v>
      </c>
      <c r="N1260" s="19" t="str">
        <f>IFERROR(__xludf.DUMMYFUNCTION("""COMPUTED_VALUE"""),"PRIORIDAD 1 Q3 2023 OCTUBRE")</f>
        <v>PRIORIDAD 1 Q3 2023 OCTUBRE</v>
      </c>
    </row>
    <row r="1261" ht="15.75" customHeight="1">
      <c r="A1261" s="19" t="str">
        <f>IFERROR(__xludf.DUMMYFUNCTION("""COMPUTED_VALUE"""),"AB_1787")</f>
        <v>AB_1787</v>
      </c>
      <c r="B1261" s="19" t="str">
        <f>IFERROR(__xludf.DUMMYFUNCTION("""COMPUTED_VALUE"""),"AB_1787_D")</f>
        <v>AB_1787_D</v>
      </c>
      <c r="C1261" s="19" t="str">
        <f>IFERROR(__xludf.DUMMYFUNCTION("""COMPUTED_VALUE"""),"OH1787")</f>
        <v>OH1787</v>
      </c>
      <c r="D1261" s="19" t="str">
        <f>IFERROR(__xludf.DUMMYFUNCTION("""COMPUTED_VALUE"""),"Bucalemu")</f>
        <v>Bucalemu</v>
      </c>
      <c r="E1261" s="19" t="str">
        <f>IFERROR(__xludf.DUMMYFUNCTION("""COMPUTED_VALUE"""),"SITIO RFI")</f>
        <v>SITIO RFI</v>
      </c>
      <c r="F1261" s="19"/>
      <c r="G1261" s="19" t="str">
        <f>IFERROR(__xludf.DUMMYFUNCTION("""COMPUTED_VALUE"""),"x")</f>
        <v>x</v>
      </c>
      <c r="H1261" s="19" t="str">
        <f>IFERROR(__xludf.DUMMYFUNCTION("""COMPUTED_VALUE"""),"x")</f>
        <v>x</v>
      </c>
      <c r="I1261" s="19" t="str">
        <f>IFERROR(__xludf.DUMMYFUNCTION("""COMPUTED_VALUE"""),"x")</f>
        <v>x</v>
      </c>
      <c r="J1261" s="20" t="str">
        <f>IFERROR(__xludf.DUMMYFUNCTION("""COMPUTED_VALUE"""),"x")</f>
        <v>x</v>
      </c>
      <c r="K1261" s="19" t="str">
        <f>IFERROR(__xludf.DUMMYFUNCTION("""COMPUTED_VALUE"""),"x")</f>
        <v>x</v>
      </c>
      <c r="L1261" s="20" t="str">
        <f>IFERROR(__xludf.DUMMYFUNCTION("""COMPUTED_VALUE"""),"x")</f>
        <v>x</v>
      </c>
      <c r="M1261" s="19" t="str">
        <f>IFERROR(__xludf.DUMMYFUNCTION("""COMPUTED_VALUE"""),"PCM")</f>
        <v>PCM</v>
      </c>
      <c r="N1261" s="19" t="str">
        <f>IFERROR(__xludf.DUMMYFUNCTION("""COMPUTED_VALUE"""),"PRIORIDAD 1 Q3 2023 OCTUBRE")</f>
        <v>PRIORIDAD 1 Q3 2023 OCTUBRE</v>
      </c>
    </row>
    <row r="1262" ht="15.75" customHeight="1">
      <c r="A1262" s="19" t="str">
        <f>IFERROR(__xludf.DUMMYFUNCTION("""COMPUTED_VALUE"""),"AB_2636")</f>
        <v>AB_2636</v>
      </c>
      <c r="B1262" s="19" t="str">
        <f>IFERROR(__xludf.DUMMYFUNCTION("""COMPUTED_VALUE"""),"AB_2636_E")</f>
        <v>AB_2636_E</v>
      </c>
      <c r="C1262" s="19" t="str">
        <f>IFERROR(__xludf.DUMMYFUNCTION("""COMPUTED_VALUE"""),"OH2636")</f>
        <v>OH2636</v>
      </c>
      <c r="D1262" s="19" t="str">
        <f>IFERROR(__xludf.DUMMYFUNCTION("""COMPUTED_VALUE"""),"Cerro La Cruz - Peralillo")</f>
        <v>Cerro La Cruz - Peralillo</v>
      </c>
      <c r="E1262" s="19" t="str">
        <f>IFERROR(__xludf.DUMMYFUNCTION("""COMPUTED_VALUE"""),"SITIO RFC")</f>
        <v>SITIO RFC</v>
      </c>
      <c r="F1262" s="19"/>
      <c r="G1262" s="19" t="str">
        <f>IFERROR(__xludf.DUMMYFUNCTION("""COMPUTED_VALUE"""),"x")</f>
        <v>x</v>
      </c>
      <c r="H1262" s="19" t="str">
        <f>IFERROR(__xludf.DUMMYFUNCTION("""COMPUTED_VALUE"""),"x")</f>
        <v>x</v>
      </c>
      <c r="I1262" s="19" t="str">
        <f>IFERROR(__xludf.DUMMYFUNCTION("""COMPUTED_VALUE"""),"x")</f>
        <v>x</v>
      </c>
      <c r="J1262" s="20" t="str">
        <f>IFERROR(__xludf.DUMMYFUNCTION("""COMPUTED_VALUE"""),"x")</f>
        <v>x</v>
      </c>
      <c r="K1262" s="19" t="str">
        <f>IFERROR(__xludf.DUMMYFUNCTION("""COMPUTED_VALUE"""),"x")</f>
        <v>x</v>
      </c>
      <c r="L1262" s="20" t="str">
        <f>IFERROR(__xludf.DUMMYFUNCTION("""COMPUTED_VALUE"""),"x")</f>
        <v>x</v>
      </c>
      <c r="M1262" s="19" t="str">
        <f>IFERROR(__xludf.DUMMYFUNCTION("""COMPUTED_VALUE"""),"PCM")</f>
        <v>PCM</v>
      </c>
      <c r="N1262" s="19" t="str">
        <f>IFERROR(__xludf.DUMMYFUNCTION("""COMPUTED_VALUE"""),"PRIORIDAD 1 Q3 2023 OCTUBRE")</f>
        <v>PRIORIDAD 1 Q3 2023 OCTUBRE</v>
      </c>
    </row>
    <row r="1263" ht="15.75" customHeight="1">
      <c r="A1263" s="19" t="str">
        <f>IFERROR(__xludf.DUMMYFUNCTION("""COMPUTED_VALUE"""),"AB_3367")</f>
        <v>AB_3367</v>
      </c>
      <c r="B1263" s="19" t="str">
        <f>IFERROR(__xludf.DUMMYFUNCTION("""COMPUTED_VALUE"""),"AB_3367_H")</f>
        <v>AB_3367_H</v>
      </c>
      <c r="C1263" s="19" t="str">
        <f>IFERROR(__xludf.DUMMYFUNCTION("""COMPUTED_VALUE"""),"OH3367")</f>
        <v>OH3367</v>
      </c>
      <c r="D1263" s="19" t="str">
        <f>IFERROR(__xludf.DUMMYFUNCTION("""COMPUTED_VALUE"""),"Viña Valle Santa Cruz")</f>
        <v>Viña Valle Santa Cruz</v>
      </c>
      <c r="E1263" s="19" t="str">
        <f>IFERROR(__xludf.DUMMYFUNCTION("""COMPUTED_VALUE"""),"SITIO RFI")</f>
        <v>SITIO RFI</v>
      </c>
      <c r="F1263" s="19"/>
      <c r="G1263" s="19" t="str">
        <f>IFERROR(__xludf.DUMMYFUNCTION("""COMPUTED_VALUE"""),"x")</f>
        <v>x</v>
      </c>
      <c r="H1263" s="19" t="str">
        <f>IFERROR(__xludf.DUMMYFUNCTION("""COMPUTED_VALUE"""),"x")</f>
        <v>x</v>
      </c>
      <c r="I1263" s="19" t="str">
        <f>IFERROR(__xludf.DUMMYFUNCTION("""COMPUTED_VALUE"""),"x")</f>
        <v>x</v>
      </c>
      <c r="J1263" s="20" t="str">
        <f>IFERROR(__xludf.DUMMYFUNCTION("""COMPUTED_VALUE"""),"x")</f>
        <v>x</v>
      </c>
      <c r="K1263" s="19" t="str">
        <f>IFERROR(__xludf.DUMMYFUNCTION("""COMPUTED_VALUE"""),"x")</f>
        <v>x</v>
      </c>
      <c r="L1263" s="20" t="str">
        <f>IFERROR(__xludf.DUMMYFUNCTION("""COMPUTED_VALUE"""),"x")</f>
        <v>x</v>
      </c>
      <c r="M1263" s="19" t="str">
        <f>IFERROR(__xludf.DUMMYFUNCTION("""COMPUTED_VALUE"""),"PCM")</f>
        <v>PCM</v>
      </c>
      <c r="N1263" s="19" t="str">
        <f>IFERROR(__xludf.DUMMYFUNCTION("""COMPUTED_VALUE"""),"PRIORIDAD 1 Q3 2023 OCTUBRE")</f>
        <v>PRIORIDAD 1 Q3 2023 OCTUBRE</v>
      </c>
    </row>
    <row r="1264" ht="15.75" customHeight="1">
      <c r="A1264" s="19" t="str">
        <f>IFERROR(__xludf.DUMMYFUNCTION("""COMPUTED_VALUE"""),"AB_4784")</f>
        <v>AB_4784</v>
      </c>
      <c r="B1264" s="19" t="str">
        <f>IFERROR(__xludf.DUMMYFUNCTION("""COMPUTED_VALUE"""),"AB_4784_B")</f>
        <v>AB_4784_B</v>
      </c>
      <c r="C1264" s="19" t="str">
        <f>IFERROR(__xludf.DUMMYFUNCTION("""COMPUTED_VALUE"""),"OH4784")</f>
        <v>OH4784</v>
      </c>
      <c r="D1264" s="19" t="str">
        <f>IFERROR(__xludf.DUMMYFUNCTION("""COMPUTED_VALUE"""),"Santa Lucia Pichidegua")</f>
        <v>Santa Lucia Pichidegua</v>
      </c>
      <c r="E1264" s="19" t="str">
        <f>IFERROR(__xludf.DUMMYFUNCTION("""COMPUTED_VALUE"""),"SITIO RFI")</f>
        <v>SITIO RFI</v>
      </c>
      <c r="F1264" s="19"/>
      <c r="G1264" s="19" t="str">
        <f>IFERROR(__xludf.DUMMYFUNCTION("""COMPUTED_VALUE"""),"x")</f>
        <v>x</v>
      </c>
      <c r="H1264" s="19" t="str">
        <f>IFERROR(__xludf.DUMMYFUNCTION("""COMPUTED_VALUE"""),"x")</f>
        <v>x</v>
      </c>
      <c r="I1264" s="19" t="str">
        <f>IFERROR(__xludf.DUMMYFUNCTION("""COMPUTED_VALUE"""),"x")</f>
        <v>x</v>
      </c>
      <c r="J1264" s="20" t="str">
        <f>IFERROR(__xludf.DUMMYFUNCTION("""COMPUTED_VALUE"""),"x")</f>
        <v>x</v>
      </c>
      <c r="K1264" s="19" t="str">
        <f>IFERROR(__xludf.DUMMYFUNCTION("""COMPUTED_VALUE"""),"x")</f>
        <v>x</v>
      </c>
      <c r="L1264" s="20" t="str">
        <f>IFERROR(__xludf.DUMMYFUNCTION("""COMPUTED_VALUE"""),"x")</f>
        <v>x</v>
      </c>
      <c r="M1264" s="19" t="str">
        <f>IFERROR(__xludf.DUMMYFUNCTION("""COMPUTED_VALUE"""),"PCM")</f>
        <v>PCM</v>
      </c>
      <c r="N1264" s="19" t="str">
        <f>IFERROR(__xludf.DUMMYFUNCTION("""COMPUTED_VALUE"""),"PRIORIDAD 1 Q3 2023 OCTUBRE")</f>
        <v>PRIORIDAD 1 Q3 2023 OCTUBRE</v>
      </c>
    </row>
    <row r="1265" ht="15.75" customHeight="1">
      <c r="A1265" s="19" t="str">
        <f>IFERROR(__xludf.DUMMYFUNCTION("""COMPUTED_VALUE"""),"AB_5838")</f>
        <v>AB_5838</v>
      </c>
      <c r="B1265" s="19" t="str">
        <f>IFERROR(__xludf.DUMMYFUNCTION("""COMPUTED_VALUE"""),"AB_5838_C")</f>
        <v>AB_5838_C</v>
      </c>
      <c r="C1265" s="19" t="str">
        <f>IFERROR(__xludf.DUMMYFUNCTION("""COMPUTED_VALUE"""),"OH5838")</f>
        <v>OH5838</v>
      </c>
      <c r="D1265" s="19" t="str">
        <f>IFERROR(__xludf.DUMMYFUNCTION("""COMPUTED_VALUE"""),"Diego de Almagro Rancagua")</f>
        <v>Diego de Almagro Rancagua</v>
      </c>
      <c r="E1265" s="19" t="str">
        <f>IFERROR(__xludf.DUMMYFUNCTION("""COMPUTED_VALUE"""),"DETENIDO TORRERO")</f>
        <v>DETENIDO TORRERO</v>
      </c>
      <c r="F1265" s="19"/>
      <c r="G1265" s="19" t="str">
        <f>IFERROR(__xludf.DUMMYFUNCTION("""COMPUTED_VALUE"""),"x")</f>
        <v>x</v>
      </c>
      <c r="H1265" s="19" t="str">
        <f>IFERROR(__xludf.DUMMYFUNCTION("""COMPUTED_VALUE"""),"x")</f>
        <v>x</v>
      </c>
      <c r="I1265" s="19" t="str">
        <f>IFERROR(__xludf.DUMMYFUNCTION("""COMPUTED_VALUE"""),"x")</f>
        <v>x</v>
      </c>
      <c r="J1265" s="20" t="str">
        <f>IFERROR(__xludf.DUMMYFUNCTION("""COMPUTED_VALUE"""),"x")</f>
        <v>x</v>
      </c>
      <c r="K1265" s="19" t="str">
        <f>IFERROR(__xludf.DUMMYFUNCTION("""COMPUTED_VALUE"""),"x")</f>
        <v>x</v>
      </c>
      <c r="L1265" s="20" t="str">
        <f>IFERROR(__xludf.DUMMYFUNCTION("""COMPUTED_VALUE"""),"x")</f>
        <v>x</v>
      </c>
      <c r="M1265" s="19" t="str">
        <f>IFERROR(__xludf.DUMMYFUNCTION("""COMPUTED_VALUE"""),"PCM")</f>
        <v>PCM</v>
      </c>
      <c r="N1265" s="19" t="str">
        <f>IFERROR(__xludf.DUMMYFUNCTION("""COMPUTED_VALUE"""),"PRIORIDAD 1 Q3 2023 OCTUBRE")</f>
        <v>PRIORIDAD 1 Q3 2023 OCTUBRE</v>
      </c>
    </row>
    <row r="1266" ht="15.75" customHeight="1">
      <c r="A1266" s="19" t="str">
        <f>IFERROR(__xludf.DUMMYFUNCTION("""COMPUTED_VALUE"""),"AB_6262")</f>
        <v>AB_6262</v>
      </c>
      <c r="B1266" s="19" t="str">
        <f>IFERROR(__xludf.DUMMYFUNCTION("""COMPUTED_VALUE"""),"AB_6262_B")</f>
        <v>AB_6262_B</v>
      </c>
      <c r="C1266" s="19" t="str">
        <f>IFERROR(__xludf.DUMMYFUNCTION("""COMPUTED_VALUE"""),"OH6262")</f>
        <v>OH6262</v>
      </c>
      <c r="D1266" s="19" t="str">
        <f>IFERROR(__xludf.DUMMYFUNCTION("""COMPUTED_VALUE"""),"Enlace Coya")</f>
        <v>Enlace Coya</v>
      </c>
      <c r="E1266" s="19" t="str">
        <f>IFERROR(__xludf.DUMMYFUNCTION("""COMPUTED_VALUE"""),"SITIO RFI")</f>
        <v>SITIO RFI</v>
      </c>
      <c r="F1266" s="19"/>
      <c r="G1266" s="19" t="str">
        <f>IFERROR(__xludf.DUMMYFUNCTION("""COMPUTED_VALUE"""),"x")</f>
        <v>x</v>
      </c>
      <c r="H1266" s="19" t="str">
        <f>IFERROR(__xludf.DUMMYFUNCTION("""COMPUTED_VALUE"""),"x")</f>
        <v>x</v>
      </c>
      <c r="I1266" s="19" t="str">
        <f>IFERROR(__xludf.DUMMYFUNCTION("""COMPUTED_VALUE"""),"x")</f>
        <v>x</v>
      </c>
      <c r="J1266" s="20" t="str">
        <f>IFERROR(__xludf.DUMMYFUNCTION("""COMPUTED_VALUE"""),"x")</f>
        <v>x</v>
      </c>
      <c r="K1266" s="19" t="str">
        <f>IFERROR(__xludf.DUMMYFUNCTION("""COMPUTED_VALUE"""),"x")</f>
        <v>x</v>
      </c>
      <c r="L1266" s="20" t="str">
        <f>IFERROR(__xludf.DUMMYFUNCTION("""COMPUTED_VALUE"""),"x")</f>
        <v>x</v>
      </c>
      <c r="M1266" s="19" t="str">
        <f>IFERROR(__xludf.DUMMYFUNCTION("""COMPUTED_VALUE"""),"PCM")</f>
        <v>PCM</v>
      </c>
      <c r="N1266" s="19" t="str">
        <f>IFERROR(__xludf.DUMMYFUNCTION("""COMPUTED_VALUE"""),"PRIORIDAD 1 Q3 2023 OCTUBRE")</f>
        <v>PRIORIDAD 1 Q3 2023 OCTUBRE</v>
      </c>
    </row>
    <row r="1267" ht="15.75" customHeight="1">
      <c r="A1267" s="19" t="str">
        <f>IFERROR(__xludf.DUMMYFUNCTION("""COMPUTED_VALUE"""),"AB_8268")</f>
        <v>AB_8268</v>
      </c>
      <c r="B1267" s="19" t="str">
        <f>IFERROR(__xludf.DUMMYFUNCTION("""COMPUTED_VALUE"""),"AB_8268_F")</f>
        <v>AB_8268_F</v>
      </c>
      <c r="C1267" s="19" t="str">
        <f>IFERROR(__xludf.DUMMYFUNCTION("""COMPUTED_VALUE"""),"OH8268")</f>
        <v>OH8268</v>
      </c>
      <c r="D1267" s="19" t="str">
        <f>IFERROR(__xludf.DUMMYFUNCTION("""COMPUTED_VALUE"""),"Rengo Ciudad")</f>
        <v>Rengo Ciudad</v>
      </c>
      <c r="E1267" s="19" t="str">
        <f>IFERROR(__xludf.DUMMYFUNCTION("""COMPUTED_VALUE"""),"SITIO RFI")</f>
        <v>SITIO RFI</v>
      </c>
      <c r="F1267" s="19"/>
      <c r="G1267" s="19" t="str">
        <f>IFERROR(__xludf.DUMMYFUNCTION("""COMPUTED_VALUE"""),"x")</f>
        <v>x</v>
      </c>
      <c r="H1267" s="19" t="str">
        <f>IFERROR(__xludf.DUMMYFUNCTION("""COMPUTED_VALUE"""),"x")</f>
        <v>x</v>
      </c>
      <c r="I1267" s="19" t="str">
        <f>IFERROR(__xludf.DUMMYFUNCTION("""COMPUTED_VALUE"""),"x")</f>
        <v>x</v>
      </c>
      <c r="J1267" s="20" t="str">
        <f>IFERROR(__xludf.DUMMYFUNCTION("""COMPUTED_VALUE"""),"x")</f>
        <v>x</v>
      </c>
      <c r="K1267" s="19" t="str">
        <f>IFERROR(__xludf.DUMMYFUNCTION("""COMPUTED_VALUE"""),"x")</f>
        <v>x</v>
      </c>
      <c r="L1267" s="20" t="str">
        <f>IFERROR(__xludf.DUMMYFUNCTION("""COMPUTED_VALUE"""),"x")</f>
        <v>x</v>
      </c>
      <c r="M1267" s="19" t="str">
        <f>IFERROR(__xludf.DUMMYFUNCTION("""COMPUTED_VALUE"""),"PCM")</f>
        <v>PCM</v>
      </c>
      <c r="N1267" s="19" t="str">
        <f>IFERROR(__xludf.DUMMYFUNCTION("""COMPUTED_VALUE"""),"PRIORIDAD 1 Q3 2023 OCTUBRE")</f>
        <v>PRIORIDAD 1 Q3 2023 OCTUBRE</v>
      </c>
    </row>
    <row r="1268" ht="15.75" customHeight="1">
      <c r="A1268" s="19" t="str">
        <f>IFERROR(__xludf.DUMMYFUNCTION("""COMPUTED_VALUE"""),"AB_8315")</f>
        <v>AB_8315</v>
      </c>
      <c r="B1268" s="19" t="str">
        <f>IFERROR(__xludf.DUMMYFUNCTION("""COMPUTED_VALUE"""),"AB_8315_D")</f>
        <v>AB_8315_D</v>
      </c>
      <c r="C1268" s="19" t="str">
        <f>IFERROR(__xludf.DUMMYFUNCTION("""COMPUTED_VALUE"""),"OH8315")</f>
        <v>OH8315</v>
      </c>
      <c r="D1268" s="19" t="str">
        <f>IFERROR(__xludf.DUMMYFUNCTION("""COMPUTED_VALUE"""),"Rio Loco RU1")</f>
        <v>Rio Loco RU1</v>
      </c>
      <c r="E1268" s="19" t="str">
        <f>IFERROR(__xludf.DUMMYFUNCTION("""COMPUTED_VALUE"""),"SITIO RFI")</f>
        <v>SITIO RFI</v>
      </c>
      <c r="F1268" s="19"/>
      <c r="G1268" s="19" t="str">
        <f>IFERROR(__xludf.DUMMYFUNCTION("""COMPUTED_VALUE"""),"x")</f>
        <v>x</v>
      </c>
      <c r="H1268" s="19" t="str">
        <f>IFERROR(__xludf.DUMMYFUNCTION("""COMPUTED_VALUE"""),"x")</f>
        <v>x</v>
      </c>
      <c r="I1268" s="19" t="str">
        <f>IFERROR(__xludf.DUMMYFUNCTION("""COMPUTED_VALUE"""),"x")</f>
        <v>x</v>
      </c>
      <c r="J1268" s="20" t="str">
        <f>IFERROR(__xludf.DUMMYFUNCTION("""COMPUTED_VALUE"""),"x")</f>
        <v>x</v>
      </c>
      <c r="K1268" s="19" t="str">
        <f>IFERROR(__xludf.DUMMYFUNCTION("""COMPUTED_VALUE"""),"x")</f>
        <v>x</v>
      </c>
      <c r="L1268" s="20" t="str">
        <f>IFERROR(__xludf.DUMMYFUNCTION("""COMPUTED_VALUE"""),"x")</f>
        <v>x</v>
      </c>
      <c r="M1268" s="19" t="str">
        <f>IFERROR(__xludf.DUMMYFUNCTION("""COMPUTED_VALUE"""),"PCM_4")</f>
        <v>PCM_4</v>
      </c>
      <c r="N1268" s="19" t="str">
        <f>IFERROR(__xludf.DUMMYFUNCTION("""COMPUTED_VALUE"""),"PRIORIDAD 3 Q1 2024 MARZO")</f>
        <v>PRIORIDAD 3 Q1 2024 MARZO</v>
      </c>
    </row>
    <row r="1269" ht="15.75" customHeight="1">
      <c r="A1269" s="19" t="str">
        <f>IFERROR(__xludf.DUMMYFUNCTION("""COMPUTED_VALUE"""),"AB_8318")</f>
        <v>AB_8318</v>
      </c>
      <c r="B1269" s="19" t="str">
        <f>IFERROR(__xludf.DUMMYFUNCTION("""COMPUTED_VALUE"""),"AB_8318_C")</f>
        <v>AB_8318_C</v>
      </c>
      <c r="C1269" s="19" t="str">
        <f>IFERROR(__xludf.DUMMYFUNCTION("""COMPUTED_VALUE"""),"OH8318")</f>
        <v>OH8318</v>
      </c>
      <c r="D1269" s="19" t="str">
        <f>IFERROR(__xludf.DUMMYFUNCTION("""COMPUTED_VALUE"""),"Independencia Rengo RU1")</f>
        <v>Independencia Rengo RU1</v>
      </c>
      <c r="E1269" s="19" t="str">
        <f>IFERROR(__xludf.DUMMYFUNCTION("""COMPUTED_VALUE"""),"SITIO RFI")</f>
        <v>SITIO RFI</v>
      </c>
      <c r="F1269" s="19"/>
      <c r="G1269" s="19" t="str">
        <f>IFERROR(__xludf.DUMMYFUNCTION("""COMPUTED_VALUE"""),"x")</f>
        <v>x</v>
      </c>
      <c r="H1269" s="19" t="str">
        <f>IFERROR(__xludf.DUMMYFUNCTION("""COMPUTED_VALUE"""),"x")</f>
        <v>x</v>
      </c>
      <c r="I1269" s="19" t="str">
        <f>IFERROR(__xludf.DUMMYFUNCTION("""COMPUTED_VALUE"""),"x")</f>
        <v>x</v>
      </c>
      <c r="J1269" s="20" t="str">
        <f>IFERROR(__xludf.DUMMYFUNCTION("""COMPUTED_VALUE"""),"x")</f>
        <v>x</v>
      </c>
      <c r="K1269" s="19" t="str">
        <f>IFERROR(__xludf.DUMMYFUNCTION("""COMPUTED_VALUE"""),"x")</f>
        <v>x</v>
      </c>
      <c r="L1269" s="20" t="str">
        <f>IFERROR(__xludf.DUMMYFUNCTION("""COMPUTED_VALUE"""),"x")</f>
        <v>x</v>
      </c>
      <c r="M1269" s="19" t="str">
        <f>IFERROR(__xludf.DUMMYFUNCTION("""COMPUTED_VALUE"""),"PCM_5")</f>
        <v>PCM_5</v>
      </c>
      <c r="N1269" s="19" t="str">
        <f>IFERROR(__xludf.DUMMYFUNCTION("""COMPUTED_VALUE"""),"PCM_5")</f>
        <v>PCM_5</v>
      </c>
    </row>
    <row r="1270" ht="15.75" customHeight="1">
      <c r="A1270" s="19" t="str">
        <f>IFERROR(__xludf.DUMMYFUNCTION("""COMPUTED_VALUE"""),"AB_8322")</f>
        <v>AB_8322</v>
      </c>
      <c r="B1270" s="19" t="str">
        <f>IFERROR(__xludf.DUMMYFUNCTION("""COMPUTED_VALUE"""),"AB_8322_B")</f>
        <v>AB_8322_B</v>
      </c>
      <c r="C1270" s="19" t="str">
        <f>IFERROR(__xludf.DUMMYFUNCTION("""COMPUTED_VALUE"""),"OH8322")</f>
        <v>OH8322</v>
      </c>
      <c r="D1270" s="19" t="str">
        <f>IFERROR(__xludf.DUMMYFUNCTION("""COMPUTED_VALUE"""),"Requinoa RU2")</f>
        <v>Requinoa RU2</v>
      </c>
      <c r="E1270" s="19" t="str">
        <f>IFERROR(__xludf.DUMMYFUNCTION("""COMPUTED_VALUE"""),"SITIO RFI")</f>
        <v>SITIO RFI</v>
      </c>
      <c r="F1270" s="19"/>
      <c r="G1270" s="19" t="str">
        <f>IFERROR(__xludf.DUMMYFUNCTION("""COMPUTED_VALUE"""),"x")</f>
        <v>x</v>
      </c>
      <c r="H1270" s="19" t="str">
        <f>IFERROR(__xludf.DUMMYFUNCTION("""COMPUTED_VALUE"""),"x")</f>
        <v>x</v>
      </c>
      <c r="I1270" s="19" t="str">
        <f>IFERROR(__xludf.DUMMYFUNCTION("""COMPUTED_VALUE"""),"x")</f>
        <v>x</v>
      </c>
      <c r="J1270" s="20" t="str">
        <f>IFERROR(__xludf.DUMMYFUNCTION("""COMPUTED_VALUE"""),"x")</f>
        <v>x</v>
      </c>
      <c r="K1270" s="19" t="str">
        <f>IFERROR(__xludf.DUMMYFUNCTION("""COMPUTED_VALUE"""),"x")</f>
        <v>x</v>
      </c>
      <c r="L1270" s="20" t="str">
        <f>IFERROR(__xludf.DUMMYFUNCTION("""COMPUTED_VALUE"""),"x")</f>
        <v>x</v>
      </c>
      <c r="M1270" s="19" t="str">
        <f>IFERROR(__xludf.DUMMYFUNCTION("""COMPUTED_VALUE"""),"PCM_5")</f>
        <v>PCM_5</v>
      </c>
      <c r="N1270" s="19" t="str">
        <f>IFERROR(__xludf.DUMMYFUNCTION("""COMPUTED_VALUE"""),"PCM_5")</f>
        <v>PCM_5</v>
      </c>
    </row>
    <row r="1271" ht="15.75" customHeight="1">
      <c r="A1271" s="19" t="str">
        <f>IFERROR(__xludf.DUMMYFUNCTION("""COMPUTED_VALUE"""),"AB_8891")</f>
        <v>AB_8891</v>
      </c>
      <c r="B1271" s="19" t="str">
        <f>IFERROR(__xludf.DUMMYFUNCTION("""COMPUTED_VALUE"""),"AB_8891_C")</f>
        <v>AB_8891_C</v>
      </c>
      <c r="C1271" s="19" t="str">
        <f>IFERROR(__xludf.DUMMYFUNCTION("""COMPUTED_VALUE"""),"OH8891")</f>
        <v>OH8891</v>
      </c>
      <c r="D1271" s="19" t="str">
        <f>IFERROR(__xludf.DUMMYFUNCTION("""COMPUTED_VALUE"""),"El Carmen Santa Julia")</f>
        <v>El Carmen Santa Julia</v>
      </c>
      <c r="E1271" s="19" t="str">
        <f>IFERROR(__xludf.DUMMYFUNCTION("""COMPUTED_VALUE"""),"SITIO RFC")</f>
        <v>SITIO RFC</v>
      </c>
      <c r="F1271" s="19"/>
      <c r="G1271" s="19" t="str">
        <f>IFERROR(__xludf.DUMMYFUNCTION("""COMPUTED_VALUE"""),"x")</f>
        <v>x</v>
      </c>
      <c r="H1271" s="19" t="str">
        <f>IFERROR(__xludf.DUMMYFUNCTION("""COMPUTED_VALUE"""),"x")</f>
        <v>x</v>
      </c>
      <c r="I1271" s="19" t="str">
        <f>IFERROR(__xludf.DUMMYFUNCTION("""COMPUTED_VALUE"""),"x")</f>
        <v>x</v>
      </c>
      <c r="J1271" s="20" t="str">
        <f>IFERROR(__xludf.DUMMYFUNCTION("""COMPUTED_VALUE"""),"x")</f>
        <v>x</v>
      </c>
      <c r="K1271" s="19" t="str">
        <f>IFERROR(__xludf.DUMMYFUNCTION("""COMPUTED_VALUE"""),"x")</f>
        <v>x</v>
      </c>
      <c r="L1271" s="20" t="str">
        <f>IFERROR(__xludf.DUMMYFUNCTION("""COMPUTED_VALUE"""),"x")</f>
        <v>x</v>
      </c>
      <c r="M1271" s="19" t="str">
        <f>IFERROR(__xludf.DUMMYFUNCTION("""COMPUTED_VALUE"""),"PP")</f>
        <v>PP</v>
      </c>
      <c r="N1271" s="19" t="str">
        <f>IFERROR(__xludf.DUMMYFUNCTION("""COMPUTED_VALUE"""),"PRIORIDAD 1 Q3 2023 OCTUBRE")</f>
        <v>PRIORIDAD 1 Q3 2023 OCTUBRE</v>
      </c>
    </row>
    <row r="1272" ht="15.75" customHeight="1">
      <c r="A1272" s="19" t="str">
        <f>IFERROR(__xludf.DUMMYFUNCTION("""COMPUTED_VALUE"""),"AB_8895")</f>
        <v>AB_8895</v>
      </c>
      <c r="B1272" s="19" t="str">
        <f>IFERROR(__xludf.DUMMYFUNCTION("""COMPUTED_VALUE"""),"AB_8895_A")</f>
        <v>AB_8895_A</v>
      </c>
      <c r="C1272" s="19" t="str">
        <f>IFERROR(__xludf.DUMMYFUNCTION("""COMPUTED_VALUE"""),"OH8895")</f>
        <v>OH8895</v>
      </c>
      <c r="D1272" s="19" t="str">
        <f>IFERROR(__xludf.DUMMYFUNCTION("""COMPUTED_VALUE"""),"El Sauce Marchihue")</f>
        <v>El Sauce Marchihue</v>
      </c>
      <c r="E1272" s="19" t="str">
        <f>IFERROR(__xludf.DUMMYFUNCTION("""COMPUTED_VALUE"""),"SITIO RFI")</f>
        <v>SITIO RFI</v>
      </c>
      <c r="F1272" s="19"/>
      <c r="G1272" s="19" t="str">
        <f>IFERROR(__xludf.DUMMYFUNCTION("""COMPUTED_VALUE"""),"x")</f>
        <v>x</v>
      </c>
      <c r="H1272" s="19" t="str">
        <f>IFERROR(__xludf.DUMMYFUNCTION("""COMPUTED_VALUE"""),"x")</f>
        <v>x</v>
      </c>
      <c r="I1272" s="19" t="str">
        <f>IFERROR(__xludf.DUMMYFUNCTION("""COMPUTED_VALUE"""),"x")</f>
        <v>x</v>
      </c>
      <c r="J1272" s="20" t="str">
        <f>IFERROR(__xludf.DUMMYFUNCTION("""COMPUTED_VALUE"""),"x")</f>
        <v>x</v>
      </c>
      <c r="K1272" s="19" t="str">
        <f>IFERROR(__xludf.DUMMYFUNCTION("""COMPUTED_VALUE"""),"x")</f>
        <v>x</v>
      </c>
      <c r="L1272" s="20" t="str">
        <f>IFERROR(__xludf.DUMMYFUNCTION("""COMPUTED_VALUE"""),"x")</f>
        <v>x</v>
      </c>
      <c r="M1272" s="19" t="str">
        <f>IFERROR(__xludf.DUMMYFUNCTION("""COMPUTED_VALUE"""),"PCM")</f>
        <v>PCM</v>
      </c>
      <c r="N1272" s="19" t="str">
        <f>IFERROR(__xludf.DUMMYFUNCTION("""COMPUTED_VALUE"""),"PRIORIDAD 1 Q3 2023 OCTUBRE")</f>
        <v>PRIORIDAD 1 Q3 2023 OCTUBRE</v>
      </c>
    </row>
    <row r="1273" ht="15.75" customHeight="1">
      <c r="A1273" s="19" t="str">
        <f>IFERROR(__xludf.DUMMYFUNCTION("""COMPUTED_VALUE"""),"AB_9055")</f>
        <v>AB_9055</v>
      </c>
      <c r="B1273" s="19" t="str">
        <f>IFERROR(__xludf.DUMMYFUNCTION("""COMPUTED_VALUE"""),"AB_9055_A")</f>
        <v>AB_9055_A</v>
      </c>
      <c r="C1273" s="19" t="str">
        <f>IFERROR(__xludf.DUMMYFUNCTION("""COMPUTED_VALUE"""),"OH9055")</f>
        <v>OH9055</v>
      </c>
      <c r="D1273" s="19" t="str">
        <f>IFERROR(__xludf.DUMMYFUNCTION("""COMPUTED_VALUE"""),"San José del Carmen")</f>
        <v>San José del Carmen</v>
      </c>
      <c r="E1273" s="19" t="str">
        <f>IFERROR(__xludf.DUMMYFUNCTION("""COMPUTED_VALUE"""),"SITIO RFI")</f>
        <v>SITIO RFI</v>
      </c>
      <c r="F1273" s="19"/>
      <c r="G1273" s="19" t="str">
        <f>IFERROR(__xludf.DUMMYFUNCTION("""COMPUTED_VALUE"""),"x")</f>
        <v>x</v>
      </c>
      <c r="H1273" s="19" t="str">
        <f>IFERROR(__xludf.DUMMYFUNCTION("""COMPUTED_VALUE"""),"x")</f>
        <v>x</v>
      </c>
      <c r="I1273" s="19" t="str">
        <f>IFERROR(__xludf.DUMMYFUNCTION("""COMPUTED_VALUE"""),"x")</f>
        <v>x</v>
      </c>
      <c r="J1273" s="20" t="str">
        <f>IFERROR(__xludf.DUMMYFUNCTION("""COMPUTED_VALUE"""),"x")</f>
        <v>x</v>
      </c>
      <c r="K1273" s="19" t="str">
        <f>IFERROR(__xludf.DUMMYFUNCTION("""COMPUTED_VALUE"""),"x")</f>
        <v>x</v>
      </c>
      <c r="L1273" s="20" t="str">
        <f>IFERROR(__xludf.DUMMYFUNCTION("""COMPUTED_VALUE"""),"x")</f>
        <v>x</v>
      </c>
      <c r="M1273" s="19" t="str">
        <f>IFERROR(__xludf.DUMMYFUNCTION("""COMPUTED_VALUE"""),"PCM")</f>
        <v>PCM</v>
      </c>
      <c r="N1273" s="19" t="str">
        <f>IFERROR(__xludf.DUMMYFUNCTION("""COMPUTED_VALUE"""),"PRIORIDAD 1 Q3 2023 OCTUBRE")</f>
        <v>PRIORIDAD 1 Q3 2023 OCTUBRE</v>
      </c>
    </row>
    <row r="1274" ht="15.75" customHeight="1">
      <c r="A1274" s="19" t="str">
        <f>IFERROR(__xludf.DUMMYFUNCTION("""COMPUTED_VALUE"""),"AB_9843")</f>
        <v>AB_9843</v>
      </c>
      <c r="B1274" s="19" t="str">
        <f>IFERROR(__xludf.DUMMYFUNCTION("""COMPUTED_VALUE"""),"AB_9843_B")</f>
        <v>AB_9843_B</v>
      </c>
      <c r="C1274" s="19" t="str">
        <f>IFERROR(__xludf.DUMMYFUNCTION("""COMPUTED_VALUE"""),"OH9843")</f>
        <v>OH9843</v>
      </c>
      <c r="D1274" s="19" t="str">
        <f>IFERROR(__xludf.DUMMYFUNCTION("""COMPUTED_VALUE"""),"Guarcahue - La Estacada")</f>
        <v>Guarcahue - La Estacada</v>
      </c>
      <c r="E1274" s="19" t="str">
        <f>IFERROR(__xludf.DUMMYFUNCTION("""COMPUTED_VALUE"""),"SITIO RFI")</f>
        <v>SITIO RFI</v>
      </c>
      <c r="F1274" s="19"/>
      <c r="G1274" s="19" t="str">
        <f>IFERROR(__xludf.DUMMYFUNCTION("""COMPUTED_VALUE"""),"x")</f>
        <v>x</v>
      </c>
      <c r="H1274" s="19" t="str">
        <f>IFERROR(__xludf.DUMMYFUNCTION("""COMPUTED_VALUE"""),"x")</f>
        <v>x</v>
      </c>
      <c r="I1274" s="19" t="str">
        <f>IFERROR(__xludf.DUMMYFUNCTION("""COMPUTED_VALUE"""),"x")</f>
        <v>x</v>
      </c>
      <c r="J1274" s="20" t="str">
        <f>IFERROR(__xludf.DUMMYFUNCTION("""COMPUTED_VALUE"""),"x")</f>
        <v>x</v>
      </c>
      <c r="K1274" s="19" t="str">
        <f>IFERROR(__xludf.DUMMYFUNCTION("""COMPUTED_VALUE"""),"x")</f>
        <v>x</v>
      </c>
      <c r="L1274" s="20" t="str">
        <f>IFERROR(__xludf.DUMMYFUNCTION("""COMPUTED_VALUE"""),"x")</f>
        <v>x</v>
      </c>
      <c r="M1274" s="19" t="str">
        <f>IFERROR(__xludf.DUMMYFUNCTION("""COMPUTED_VALUE"""),"PCM")</f>
        <v>PCM</v>
      </c>
      <c r="N1274" s="19" t="str">
        <f>IFERROR(__xludf.DUMMYFUNCTION("""COMPUTED_VALUE"""),"PRIORIDAD 1 Q3 2023 OCTUBRE")</f>
        <v>PRIORIDAD 1 Q3 2023 OCTUBRE</v>
      </c>
    </row>
    <row r="1275" ht="15.75" customHeight="1">
      <c r="A1275" s="19" t="str">
        <f>IFERROR(__xludf.DUMMYFUNCTION("""COMPUTED_VALUE"""),"AB_0513")</f>
        <v>AB_0513</v>
      </c>
      <c r="B1275" s="19" t="str">
        <f>IFERROR(__xludf.DUMMYFUNCTION("""COMPUTED_VALUE"""),"AB_0513_J")</f>
        <v>AB_0513_J</v>
      </c>
      <c r="C1275" s="19" t="str">
        <f>IFERROR(__xludf.DUMMYFUNCTION("""COMPUTED_VALUE"""),"RM0513")</f>
        <v>RM0513</v>
      </c>
      <c r="D1275" s="19" t="str">
        <f>IFERROR(__xludf.DUMMYFUNCTION("""COMPUTED_VALUE"""),"Bombay")</f>
        <v>Bombay</v>
      </c>
      <c r="E1275" s="19" t="str">
        <f>IFERROR(__xludf.DUMMYFUNCTION("""COMPUTED_VALUE"""),"SITIO RFI")</f>
        <v>SITIO RFI</v>
      </c>
      <c r="F1275" s="19"/>
      <c r="G1275" s="19" t="str">
        <f>IFERROR(__xludf.DUMMYFUNCTION("""COMPUTED_VALUE"""),"x")</f>
        <v>x</v>
      </c>
      <c r="H1275" s="19" t="str">
        <f>IFERROR(__xludf.DUMMYFUNCTION("""COMPUTED_VALUE"""),"x")</f>
        <v>x</v>
      </c>
      <c r="I1275" s="19" t="str">
        <f>IFERROR(__xludf.DUMMYFUNCTION("""COMPUTED_VALUE"""),"x")</f>
        <v>x</v>
      </c>
      <c r="J1275" s="20" t="str">
        <f>IFERROR(__xludf.DUMMYFUNCTION("""COMPUTED_VALUE"""),"x")</f>
        <v>x</v>
      </c>
      <c r="K1275" s="19" t="str">
        <f>IFERROR(__xludf.DUMMYFUNCTION("""COMPUTED_VALUE"""),"x")</f>
        <v>x</v>
      </c>
      <c r="L1275" s="20" t="str">
        <f>IFERROR(__xludf.DUMMYFUNCTION("""COMPUTED_VALUE"""),"x")</f>
        <v>x</v>
      </c>
      <c r="M1275" s="19" t="str">
        <f>IFERROR(__xludf.DUMMYFUNCTION("""COMPUTED_VALUE"""),"PCM")</f>
        <v>PCM</v>
      </c>
      <c r="N1275" s="19" t="str">
        <f>IFERROR(__xludf.DUMMYFUNCTION("""COMPUTED_VALUE"""),"PRIORIDAD 1 Q3 2023 OCTUBRE")</f>
        <v>PRIORIDAD 1 Q3 2023 OCTUBRE</v>
      </c>
    </row>
    <row r="1276" ht="15.75" customHeight="1">
      <c r="A1276" s="19" t="str">
        <f>IFERROR(__xludf.DUMMYFUNCTION("""COMPUTED_VALUE"""),"AB_0517")</f>
        <v>AB_0517</v>
      </c>
      <c r="B1276" s="19" t="str">
        <f>IFERROR(__xludf.DUMMYFUNCTION("""COMPUTED_VALUE"""),"AB_0517_L")</f>
        <v>AB_0517_L</v>
      </c>
      <c r="C1276" s="19" t="str">
        <f>IFERROR(__xludf.DUMMYFUNCTION("""COMPUTED_VALUE"""),"RM0517")</f>
        <v>RM0517</v>
      </c>
      <c r="D1276" s="19" t="str">
        <f>IFERROR(__xludf.DUMMYFUNCTION("""COMPUTED_VALUE"""),"Longitudinal Norte Oriente")</f>
        <v>Longitudinal Norte Oriente</v>
      </c>
      <c r="E1276" s="19" t="str">
        <f>IFERROR(__xludf.DUMMYFUNCTION("""COMPUTED_VALUE"""),"SITIO RFI")</f>
        <v>SITIO RFI</v>
      </c>
      <c r="F1276" s="19"/>
      <c r="G1276" s="19" t="str">
        <f>IFERROR(__xludf.DUMMYFUNCTION("""COMPUTED_VALUE"""),"x")</f>
        <v>x</v>
      </c>
      <c r="H1276" s="19" t="str">
        <f>IFERROR(__xludf.DUMMYFUNCTION("""COMPUTED_VALUE"""),"x")</f>
        <v>x</v>
      </c>
      <c r="I1276" s="19" t="str">
        <f>IFERROR(__xludf.DUMMYFUNCTION("""COMPUTED_VALUE"""),"x")</f>
        <v>x</v>
      </c>
      <c r="J1276" s="20" t="str">
        <f>IFERROR(__xludf.DUMMYFUNCTION("""COMPUTED_VALUE"""),"x")</f>
        <v>x</v>
      </c>
      <c r="K1276" s="19" t="str">
        <f>IFERROR(__xludf.DUMMYFUNCTION("""COMPUTED_VALUE"""),"x")</f>
        <v>x</v>
      </c>
      <c r="L1276" s="20" t="str">
        <f>IFERROR(__xludf.DUMMYFUNCTION("""COMPUTED_VALUE"""),"x")</f>
        <v>x</v>
      </c>
      <c r="M1276" s="19" t="str">
        <f>IFERROR(__xludf.DUMMYFUNCTION("""COMPUTED_VALUE"""),"PCM")</f>
        <v>PCM</v>
      </c>
      <c r="N1276" s="19" t="str">
        <f>IFERROR(__xludf.DUMMYFUNCTION("""COMPUTED_VALUE"""),"PRIORIDAD 1 Q3 2023 OCTUBRE")</f>
        <v>PRIORIDAD 1 Q3 2023 OCTUBRE</v>
      </c>
    </row>
    <row r="1277" ht="15.75" customHeight="1">
      <c r="A1277" s="19" t="str">
        <f>IFERROR(__xludf.DUMMYFUNCTION("""COMPUTED_VALUE"""),"AB_10191")</f>
        <v>AB_10191</v>
      </c>
      <c r="B1277" s="19" t="str">
        <f>IFERROR(__xludf.DUMMYFUNCTION("""COMPUTED_VALUE"""),"AB_10191_F")</f>
        <v>AB_10191_F</v>
      </c>
      <c r="C1277" s="19" t="str">
        <f>IFERROR(__xludf.DUMMYFUNCTION("""COMPUTED_VALUE"""),"RM10191")</f>
        <v>RM10191</v>
      </c>
      <c r="D1277" s="19" t="str">
        <f>IFERROR(__xludf.DUMMYFUNCTION("""COMPUTED_VALUE"""),"Concha y Toro Santa Rosa")</f>
        <v>Concha y Toro Santa Rosa</v>
      </c>
      <c r="E1277" s="19" t="str">
        <f>IFERROR(__xludf.DUMMYFUNCTION("""COMPUTED_VALUE"""),"SITIO RFI")</f>
        <v>SITIO RFI</v>
      </c>
      <c r="F1277" s="19"/>
      <c r="G1277" s="19" t="str">
        <f>IFERROR(__xludf.DUMMYFUNCTION("""COMPUTED_VALUE"""),"x")</f>
        <v>x</v>
      </c>
      <c r="H1277" s="19" t="str">
        <f>IFERROR(__xludf.DUMMYFUNCTION("""COMPUTED_VALUE"""),"x")</f>
        <v>x</v>
      </c>
      <c r="I1277" s="19" t="str">
        <f>IFERROR(__xludf.DUMMYFUNCTION("""COMPUTED_VALUE"""),"x")</f>
        <v>x</v>
      </c>
      <c r="J1277" s="20" t="str">
        <f>IFERROR(__xludf.DUMMYFUNCTION("""COMPUTED_VALUE"""),"x")</f>
        <v>x</v>
      </c>
      <c r="K1277" s="19" t="str">
        <f>IFERROR(__xludf.DUMMYFUNCTION("""COMPUTED_VALUE"""),"x")</f>
        <v>x</v>
      </c>
      <c r="L1277" s="20" t="str">
        <f>IFERROR(__xludf.DUMMYFUNCTION("""COMPUTED_VALUE"""),"x")</f>
        <v>x</v>
      </c>
      <c r="M1277" s="19" t="str">
        <f>IFERROR(__xludf.DUMMYFUNCTION("""COMPUTED_VALUE"""),"PCM")</f>
        <v>PCM</v>
      </c>
      <c r="N1277" s="19" t="str">
        <f>IFERROR(__xludf.DUMMYFUNCTION("""COMPUTED_VALUE"""),"PRIORIDAD 1 Q3 2023 OCTUBRE")</f>
        <v>PRIORIDAD 1 Q3 2023 OCTUBRE</v>
      </c>
    </row>
    <row r="1278" ht="15.75" customHeight="1">
      <c r="A1278" s="19" t="str">
        <f>IFERROR(__xludf.DUMMYFUNCTION("""COMPUTED_VALUE"""),"AB_10195")</f>
        <v>AB_10195</v>
      </c>
      <c r="B1278" s="19" t="str">
        <f>IFERROR(__xludf.DUMMYFUNCTION("""COMPUTED_VALUE"""),"AB_10195_D")</f>
        <v>AB_10195_D</v>
      </c>
      <c r="C1278" s="19" t="str">
        <f>IFERROR(__xludf.DUMMYFUNCTION("""COMPUTED_VALUE"""),"RM10195")</f>
        <v>RM10195</v>
      </c>
      <c r="D1278" s="19" t="str">
        <f>IFERROR(__xludf.DUMMYFUNCTION("""COMPUTED_VALUE"""),"Templo Bahai")</f>
        <v>Templo Bahai</v>
      </c>
      <c r="E1278" s="19" t="str">
        <f>IFERROR(__xludf.DUMMYFUNCTION("""COMPUTED_VALUE"""),"SITIO RFI")</f>
        <v>SITIO RFI</v>
      </c>
      <c r="F1278" s="19"/>
      <c r="G1278" s="19" t="str">
        <f>IFERROR(__xludf.DUMMYFUNCTION("""COMPUTED_VALUE"""),"x")</f>
        <v>x</v>
      </c>
      <c r="H1278" s="19" t="str">
        <f>IFERROR(__xludf.DUMMYFUNCTION("""COMPUTED_VALUE"""),"x")</f>
        <v>x</v>
      </c>
      <c r="I1278" s="19" t="str">
        <f>IFERROR(__xludf.DUMMYFUNCTION("""COMPUTED_VALUE"""),"x")</f>
        <v>x</v>
      </c>
      <c r="J1278" s="20" t="str">
        <f>IFERROR(__xludf.DUMMYFUNCTION("""COMPUTED_VALUE"""),"x")</f>
        <v>x</v>
      </c>
      <c r="K1278" s="19" t="str">
        <f>IFERROR(__xludf.DUMMYFUNCTION("""COMPUTED_VALUE"""),"x")</f>
        <v>x</v>
      </c>
      <c r="L1278" s="20" t="str">
        <f>IFERROR(__xludf.DUMMYFUNCTION("""COMPUTED_VALUE"""),"x")</f>
        <v>x</v>
      </c>
      <c r="M1278" s="19" t="str">
        <f>IFERROR(__xludf.DUMMYFUNCTION("""COMPUTED_VALUE"""),"PCM")</f>
        <v>PCM</v>
      </c>
      <c r="N1278" s="19" t="str">
        <f>IFERROR(__xludf.DUMMYFUNCTION("""COMPUTED_VALUE"""),"PRIORIDAD 1 Q3 2023 OCTUBRE")</f>
        <v>PRIORIDAD 1 Q3 2023 OCTUBRE</v>
      </c>
    </row>
    <row r="1279" ht="15.75" customHeight="1">
      <c r="A1279" s="19" t="str">
        <f>IFERROR(__xludf.DUMMYFUNCTION("""COMPUTED_VALUE"""),"AB_1036")</f>
        <v>AB_1036</v>
      </c>
      <c r="B1279" s="19" t="str">
        <f>IFERROR(__xludf.DUMMYFUNCTION("""COMPUTED_VALUE"""),"AB_1036_P")</f>
        <v>AB_1036_P</v>
      </c>
      <c r="C1279" s="19" t="str">
        <f>IFERROR(__xludf.DUMMYFUNCTION("""COMPUTED_VALUE"""),"RM1036")</f>
        <v>RM1036</v>
      </c>
      <c r="D1279" s="19" t="str">
        <f>IFERROR(__xludf.DUMMYFUNCTION("""COMPUTED_VALUE"""),"Camino Viluco")</f>
        <v>Camino Viluco</v>
      </c>
      <c r="E1279" s="19" t="str">
        <f>IFERROR(__xludf.DUMMYFUNCTION("""COMPUTED_VALUE"""),"SITIO RFI")</f>
        <v>SITIO RFI</v>
      </c>
      <c r="F1279" s="19"/>
      <c r="G1279" s="19" t="str">
        <f>IFERROR(__xludf.DUMMYFUNCTION("""COMPUTED_VALUE"""),"x")</f>
        <v>x</v>
      </c>
      <c r="H1279" s="19" t="str">
        <f>IFERROR(__xludf.DUMMYFUNCTION("""COMPUTED_VALUE"""),"x")</f>
        <v>x</v>
      </c>
      <c r="I1279" s="19" t="str">
        <f>IFERROR(__xludf.DUMMYFUNCTION("""COMPUTED_VALUE"""),"x")</f>
        <v>x</v>
      </c>
      <c r="J1279" s="20" t="str">
        <f>IFERROR(__xludf.DUMMYFUNCTION("""COMPUTED_VALUE"""),"x")</f>
        <v>x</v>
      </c>
      <c r="K1279" s="19" t="str">
        <f>IFERROR(__xludf.DUMMYFUNCTION("""COMPUTED_VALUE"""),"x")</f>
        <v>x</v>
      </c>
      <c r="L1279" s="20" t="str">
        <f>IFERROR(__xludf.DUMMYFUNCTION("""COMPUTED_VALUE"""),"x")</f>
        <v>x</v>
      </c>
      <c r="M1279" s="19" t="str">
        <f>IFERROR(__xludf.DUMMYFUNCTION("""COMPUTED_VALUE"""),"PCM")</f>
        <v>PCM</v>
      </c>
      <c r="N1279" s="19" t="str">
        <f>IFERROR(__xludf.DUMMYFUNCTION("""COMPUTED_VALUE"""),"PRIORIDAD 1 Q3 2023 OCTUBRE")</f>
        <v>PRIORIDAD 1 Q3 2023 OCTUBRE</v>
      </c>
    </row>
    <row r="1280" ht="15.75" customHeight="1">
      <c r="A1280" s="19" t="str">
        <f>IFERROR(__xludf.DUMMYFUNCTION("""COMPUTED_VALUE"""),"AB_1058")</f>
        <v>AB_1058</v>
      </c>
      <c r="B1280" s="19" t="str">
        <f>IFERROR(__xludf.DUMMYFUNCTION("""COMPUTED_VALUE"""),"AB_1058_D")</f>
        <v>AB_1058_D</v>
      </c>
      <c r="C1280" s="19" t="str">
        <f>IFERROR(__xludf.DUMMYFUNCTION("""COMPUTED_VALUE"""),"RM1058")</f>
        <v>RM1058</v>
      </c>
      <c r="D1280" s="19" t="str">
        <f>IFERROR(__xludf.DUMMYFUNCTION("""COMPUTED_VALUE"""),"El Melocoton")</f>
        <v>El Melocoton</v>
      </c>
      <c r="E1280" s="19" t="str">
        <f>IFERROR(__xludf.DUMMYFUNCTION("""COMPUTED_VALUE"""),"SITIO RFI")</f>
        <v>SITIO RFI</v>
      </c>
      <c r="F1280" s="19"/>
      <c r="G1280" s="19" t="str">
        <f>IFERROR(__xludf.DUMMYFUNCTION("""COMPUTED_VALUE"""),"x")</f>
        <v>x</v>
      </c>
      <c r="H1280" s="19" t="str">
        <f>IFERROR(__xludf.DUMMYFUNCTION("""COMPUTED_VALUE"""),"x")</f>
        <v>x</v>
      </c>
      <c r="I1280" s="19" t="str">
        <f>IFERROR(__xludf.DUMMYFUNCTION("""COMPUTED_VALUE"""),"x")</f>
        <v>x</v>
      </c>
      <c r="J1280" s="20" t="str">
        <f>IFERROR(__xludf.DUMMYFUNCTION("""COMPUTED_VALUE"""),"x")</f>
        <v>x</v>
      </c>
      <c r="K1280" s="19" t="str">
        <f>IFERROR(__xludf.DUMMYFUNCTION("""COMPUTED_VALUE"""),"x")</f>
        <v>x</v>
      </c>
      <c r="L1280" s="20" t="str">
        <f>IFERROR(__xludf.DUMMYFUNCTION("""COMPUTED_VALUE"""),"x")</f>
        <v>x</v>
      </c>
      <c r="M1280" s="19" t="str">
        <f>IFERROR(__xludf.DUMMYFUNCTION("""COMPUTED_VALUE"""),"PCM")</f>
        <v>PCM</v>
      </c>
      <c r="N1280" s="19" t="str">
        <f>IFERROR(__xludf.DUMMYFUNCTION("""COMPUTED_VALUE"""),"PRIORIDAD 1 Q3 2023 OCTUBRE")</f>
        <v>PRIORIDAD 1 Q3 2023 OCTUBRE</v>
      </c>
    </row>
    <row r="1281" ht="15.75" customHeight="1">
      <c r="A1281" s="19" t="str">
        <f>IFERROR(__xludf.DUMMYFUNCTION("""COMPUTED_VALUE"""),"AB_10628")</f>
        <v>AB_10628</v>
      </c>
      <c r="B1281" s="19" t="str">
        <f>IFERROR(__xludf.DUMMYFUNCTION("""COMPUTED_VALUE"""),"AB_10628_E")</f>
        <v>AB_10628_E</v>
      </c>
      <c r="C1281" s="19" t="str">
        <f>IFERROR(__xludf.DUMMYFUNCTION("""COMPUTED_VALUE"""),"RM10628")</f>
        <v>RM10628</v>
      </c>
      <c r="D1281" s="19" t="str">
        <f>IFERROR(__xludf.DUMMYFUNCTION("""COMPUTED_VALUE"""),"Puente Alto Oriente RU")</f>
        <v>Puente Alto Oriente RU</v>
      </c>
      <c r="E1281" s="19" t="str">
        <f>IFERROR(__xludf.DUMMYFUNCTION("""COMPUTED_VALUE"""),"SITIO RFI")</f>
        <v>SITIO RFI</v>
      </c>
      <c r="F1281" s="19"/>
      <c r="G1281" s="19" t="str">
        <f>IFERROR(__xludf.DUMMYFUNCTION("""COMPUTED_VALUE"""),"x")</f>
        <v>x</v>
      </c>
      <c r="H1281" s="19" t="str">
        <f>IFERROR(__xludf.DUMMYFUNCTION("""COMPUTED_VALUE"""),"x")</f>
        <v>x</v>
      </c>
      <c r="I1281" s="19" t="str">
        <f>IFERROR(__xludf.DUMMYFUNCTION("""COMPUTED_VALUE"""),"x")</f>
        <v>x</v>
      </c>
      <c r="J1281" s="20" t="str">
        <f>IFERROR(__xludf.DUMMYFUNCTION("""COMPUTED_VALUE"""),"x")</f>
        <v>x</v>
      </c>
      <c r="K1281" s="19" t="str">
        <f>IFERROR(__xludf.DUMMYFUNCTION("""COMPUTED_VALUE"""),"x")</f>
        <v>x</v>
      </c>
      <c r="L1281" s="20" t="str">
        <f>IFERROR(__xludf.DUMMYFUNCTION("""COMPUTED_VALUE"""),"x")</f>
        <v>x</v>
      </c>
      <c r="M1281" s="19" t="str">
        <f>IFERROR(__xludf.DUMMYFUNCTION("""COMPUTED_VALUE"""),"PCM")</f>
        <v>PCM</v>
      </c>
      <c r="N1281" s="19" t="str">
        <f>IFERROR(__xludf.DUMMYFUNCTION("""COMPUTED_VALUE"""),"PRIORIDAD 1 Q3 2023 OCTUBRE")</f>
        <v>PRIORIDAD 1 Q3 2023 OCTUBRE</v>
      </c>
    </row>
    <row r="1282" ht="15.75" customHeight="1">
      <c r="A1282" s="19" t="str">
        <f>IFERROR(__xludf.DUMMYFUNCTION("""COMPUTED_VALUE"""),"AB_10645")</f>
        <v>AB_10645</v>
      </c>
      <c r="B1282" s="19" t="str">
        <f>IFERROR(__xludf.DUMMYFUNCTION("""COMPUTED_VALUE"""),"AB_10645_F")</f>
        <v>AB_10645_F</v>
      </c>
      <c r="C1282" s="19" t="str">
        <f>IFERROR(__xludf.DUMMYFUNCTION("""COMPUTED_VALUE"""),"RM10645")</f>
        <v>RM10645</v>
      </c>
      <c r="D1282" s="19" t="str">
        <f>IFERROR(__xludf.DUMMYFUNCTION("""COMPUTED_VALUE"""),"Rotonda Quilin 5G")</f>
        <v>Rotonda Quilin 5G</v>
      </c>
      <c r="E1282" s="19" t="str">
        <f>IFERROR(__xludf.DUMMYFUNCTION("""COMPUTED_VALUE"""),"SITIO RFI")</f>
        <v>SITIO RFI</v>
      </c>
      <c r="F1282" s="19"/>
      <c r="G1282" s="19" t="str">
        <f>IFERROR(__xludf.DUMMYFUNCTION("""COMPUTED_VALUE"""),"x")</f>
        <v>x</v>
      </c>
      <c r="H1282" s="19" t="str">
        <f>IFERROR(__xludf.DUMMYFUNCTION("""COMPUTED_VALUE"""),"x")</f>
        <v>x</v>
      </c>
      <c r="I1282" s="19" t="str">
        <f>IFERROR(__xludf.DUMMYFUNCTION("""COMPUTED_VALUE"""),"x")</f>
        <v>x</v>
      </c>
      <c r="J1282" s="20" t="str">
        <f>IFERROR(__xludf.DUMMYFUNCTION("""COMPUTED_VALUE"""),"x")</f>
        <v>x</v>
      </c>
      <c r="K1282" s="19" t="str">
        <f>IFERROR(__xludf.DUMMYFUNCTION("""COMPUTED_VALUE"""),"x")</f>
        <v>x</v>
      </c>
      <c r="L1282" s="20" t="str">
        <f>IFERROR(__xludf.DUMMYFUNCTION("""COMPUTED_VALUE"""),"x")</f>
        <v>x</v>
      </c>
      <c r="M1282" s="19" t="str">
        <f>IFERROR(__xludf.DUMMYFUNCTION("""COMPUTED_VALUE"""),"PCM")</f>
        <v>PCM</v>
      </c>
      <c r="N1282" s="19" t="str">
        <f>IFERROR(__xludf.DUMMYFUNCTION("""COMPUTED_VALUE"""),"PRIORIDAD 1 Q3 2023 OCTUBRE")</f>
        <v>PRIORIDAD 1 Q3 2023 OCTUBRE</v>
      </c>
    </row>
    <row r="1283" ht="15.75" customHeight="1">
      <c r="A1283" s="19" t="str">
        <f>IFERROR(__xludf.DUMMYFUNCTION("""COMPUTED_VALUE"""),"AB_10655")</f>
        <v>AB_10655</v>
      </c>
      <c r="B1283" s="19" t="str">
        <f>IFERROR(__xludf.DUMMYFUNCTION("""COMPUTED_VALUE"""),"AB_10655_A")</f>
        <v>AB_10655_A</v>
      </c>
      <c r="C1283" s="19" t="str">
        <f>IFERROR(__xludf.DUMMYFUNCTION("""COMPUTED_VALUE"""),"RM10655")</f>
        <v>RM10655</v>
      </c>
      <c r="D1283" s="19" t="str">
        <f>IFERROR(__xludf.DUMMYFUNCTION("""COMPUTED_VALUE"""),"Carrefour Reubicacion RU1")</f>
        <v>Carrefour Reubicacion RU1</v>
      </c>
      <c r="E1283" s="19" t="str">
        <f>IFERROR(__xludf.DUMMYFUNCTION("""COMPUTED_VALUE"""),"SITIO RFI")</f>
        <v>SITIO RFI</v>
      </c>
      <c r="F1283" s="19"/>
      <c r="G1283" s="19" t="str">
        <f>IFERROR(__xludf.DUMMYFUNCTION("""COMPUTED_VALUE"""),"x")</f>
        <v>x</v>
      </c>
      <c r="H1283" s="19" t="str">
        <f>IFERROR(__xludf.DUMMYFUNCTION("""COMPUTED_VALUE"""),"x")</f>
        <v>x</v>
      </c>
      <c r="I1283" s="19" t="str">
        <f>IFERROR(__xludf.DUMMYFUNCTION("""COMPUTED_VALUE"""),"x")</f>
        <v>x</v>
      </c>
      <c r="J1283" s="20" t="str">
        <f>IFERROR(__xludf.DUMMYFUNCTION("""COMPUTED_VALUE"""),"x")</f>
        <v>x</v>
      </c>
      <c r="K1283" s="19" t="str">
        <f>IFERROR(__xludf.DUMMYFUNCTION("""COMPUTED_VALUE"""),"x")</f>
        <v>x</v>
      </c>
      <c r="L1283" s="20" t="str">
        <f>IFERROR(__xludf.DUMMYFUNCTION("""COMPUTED_VALUE"""),"x")</f>
        <v>x</v>
      </c>
      <c r="M1283" s="19" t="str">
        <f>IFERROR(__xludf.DUMMYFUNCTION("""COMPUTED_VALUE"""),"PCM")</f>
        <v>PCM</v>
      </c>
      <c r="N1283" s="19" t="str">
        <f>IFERROR(__xludf.DUMMYFUNCTION("""COMPUTED_VALUE"""),"PRIORIDAD 1 Q3 2023 OCTUBRE")</f>
        <v>PRIORIDAD 1 Q3 2023 OCTUBRE</v>
      </c>
    </row>
    <row r="1284" ht="15.75" customHeight="1">
      <c r="A1284" s="19" t="str">
        <f>IFERROR(__xludf.DUMMYFUNCTION("""COMPUTED_VALUE"""),"AB_11144")</f>
        <v>AB_11144</v>
      </c>
      <c r="B1284" s="19" t="str">
        <f>IFERROR(__xludf.DUMMYFUNCTION("""COMPUTED_VALUE"""),"AB_11144_I")</f>
        <v>AB_11144_I</v>
      </c>
      <c r="C1284" s="19" t="str">
        <f>IFERROR(__xludf.DUMMYFUNCTION("""COMPUTED_VALUE"""),"RM11144")</f>
        <v>RM11144</v>
      </c>
      <c r="D1284" s="19" t="str">
        <f>IFERROR(__xludf.DUMMYFUNCTION("""COMPUTED_VALUE"""),"Los Estanques Vitacura 5G")</f>
        <v>Los Estanques Vitacura 5G</v>
      </c>
      <c r="E1284" s="19" t="str">
        <f>IFERROR(__xludf.DUMMYFUNCTION("""COMPUTED_VALUE"""),"SITIO RFC")</f>
        <v>SITIO RFC</v>
      </c>
      <c r="F1284" s="19"/>
      <c r="G1284" s="19" t="str">
        <f>IFERROR(__xludf.DUMMYFUNCTION("""COMPUTED_VALUE"""),"x")</f>
        <v>x</v>
      </c>
      <c r="H1284" s="19" t="str">
        <f>IFERROR(__xludf.DUMMYFUNCTION("""COMPUTED_VALUE"""),"x")</f>
        <v>x</v>
      </c>
      <c r="I1284" s="19" t="str">
        <f>IFERROR(__xludf.DUMMYFUNCTION("""COMPUTED_VALUE"""),"x")</f>
        <v>x</v>
      </c>
      <c r="J1284" s="20" t="str">
        <f>IFERROR(__xludf.DUMMYFUNCTION("""COMPUTED_VALUE"""),"x")</f>
        <v>x</v>
      </c>
      <c r="K1284" s="19" t="str">
        <f>IFERROR(__xludf.DUMMYFUNCTION("""COMPUTED_VALUE"""),"x")</f>
        <v>x</v>
      </c>
      <c r="L1284" s="20" t="str">
        <f>IFERROR(__xludf.DUMMYFUNCTION("""COMPUTED_VALUE"""),"x")</f>
        <v>x</v>
      </c>
      <c r="M1284" s="19" t="str">
        <f>IFERROR(__xludf.DUMMYFUNCTION("""COMPUTED_VALUE"""),"PCM")</f>
        <v>PCM</v>
      </c>
      <c r="N1284" s="19" t="str">
        <f>IFERROR(__xludf.DUMMYFUNCTION("""COMPUTED_VALUE"""),"PRIORIDAD 1 Q3 2023 OCTUBRE")</f>
        <v>PRIORIDAD 1 Q3 2023 OCTUBRE</v>
      </c>
    </row>
    <row r="1285" ht="15.75" customHeight="1">
      <c r="A1285" s="19" t="str">
        <f>IFERROR(__xludf.DUMMYFUNCTION("""COMPUTED_VALUE"""),"AB_11162")</f>
        <v>AB_11162</v>
      </c>
      <c r="B1285" s="19" t="str">
        <f>IFERROR(__xludf.DUMMYFUNCTION("""COMPUTED_VALUE"""),"AB_11162_C")</f>
        <v>AB_11162_C</v>
      </c>
      <c r="C1285" s="19" t="str">
        <f>IFERROR(__xludf.DUMMYFUNCTION("""COMPUTED_VALUE"""),"RM11162")</f>
        <v>RM11162</v>
      </c>
      <c r="D1285" s="19" t="str">
        <f>IFERROR(__xludf.DUMMYFUNCTION("""COMPUTED_VALUE"""),"El Albatros Puente Alto")</f>
        <v>El Albatros Puente Alto</v>
      </c>
      <c r="E1285" s="19" t="str">
        <f>IFERROR(__xludf.DUMMYFUNCTION("""COMPUTED_VALUE"""),"SITIO RFI")</f>
        <v>SITIO RFI</v>
      </c>
      <c r="F1285" s="19"/>
      <c r="G1285" s="19" t="str">
        <f>IFERROR(__xludf.DUMMYFUNCTION("""COMPUTED_VALUE"""),"x")</f>
        <v>x</v>
      </c>
      <c r="H1285" s="19" t="str">
        <f>IFERROR(__xludf.DUMMYFUNCTION("""COMPUTED_VALUE"""),"x")</f>
        <v>x</v>
      </c>
      <c r="I1285" s="19" t="str">
        <f>IFERROR(__xludf.DUMMYFUNCTION("""COMPUTED_VALUE"""),"x")</f>
        <v>x</v>
      </c>
      <c r="J1285" s="20" t="str">
        <f>IFERROR(__xludf.DUMMYFUNCTION("""COMPUTED_VALUE"""),"x")</f>
        <v>x</v>
      </c>
      <c r="K1285" s="19" t="str">
        <f>IFERROR(__xludf.DUMMYFUNCTION("""COMPUTED_VALUE"""),"x")</f>
        <v>x</v>
      </c>
      <c r="L1285" s="20" t="str">
        <f>IFERROR(__xludf.DUMMYFUNCTION("""COMPUTED_VALUE"""),"x")</f>
        <v>x</v>
      </c>
      <c r="M1285" s="19" t="str">
        <f>IFERROR(__xludf.DUMMYFUNCTION("""COMPUTED_VALUE"""),"PCM")</f>
        <v>PCM</v>
      </c>
      <c r="N1285" s="19" t="str">
        <f>IFERROR(__xludf.DUMMYFUNCTION("""COMPUTED_VALUE"""),"PRIORIDAD 1 Q3 2023 OCTUBRE")</f>
        <v>PRIORIDAD 1 Q3 2023 OCTUBRE</v>
      </c>
    </row>
    <row r="1286" ht="15.75" customHeight="1">
      <c r="A1286" s="19" t="str">
        <f>IFERROR(__xludf.DUMMYFUNCTION("""COMPUTED_VALUE"""),"AB_11208")</f>
        <v>AB_11208</v>
      </c>
      <c r="B1286" s="19" t="str">
        <f>IFERROR(__xludf.DUMMYFUNCTION("""COMPUTED_VALUE"""),"AB_11208_C")</f>
        <v>AB_11208_C</v>
      </c>
      <c r="C1286" s="19" t="str">
        <f>IFERROR(__xludf.DUMMYFUNCTION("""COMPUTED_VALUE"""),"RM11208")</f>
        <v>RM11208</v>
      </c>
      <c r="D1286" s="19" t="str">
        <f>IFERROR(__xludf.DUMMYFUNCTION("""COMPUTED_VALUE"""),"Longitudinal Norte Oriente 2")</f>
        <v>Longitudinal Norte Oriente 2</v>
      </c>
      <c r="E1286" s="19" t="str">
        <f>IFERROR(__xludf.DUMMYFUNCTION("""COMPUTED_VALUE"""),"DETENIDO SAC")</f>
        <v>DETENIDO SAC</v>
      </c>
      <c r="F1286" s="19"/>
      <c r="G1286" s="19" t="str">
        <f>IFERROR(__xludf.DUMMYFUNCTION("""COMPUTED_VALUE"""),"x")</f>
        <v>x</v>
      </c>
      <c r="H1286" s="19" t="str">
        <f>IFERROR(__xludf.DUMMYFUNCTION("""COMPUTED_VALUE"""),"x")</f>
        <v>x</v>
      </c>
      <c r="I1286" s="19" t="str">
        <f>IFERROR(__xludf.DUMMYFUNCTION("""COMPUTED_VALUE"""),"x")</f>
        <v>x</v>
      </c>
      <c r="J1286" s="20" t="str">
        <f>IFERROR(__xludf.DUMMYFUNCTION("""COMPUTED_VALUE"""),"x")</f>
        <v>x</v>
      </c>
      <c r="K1286" s="19" t="str">
        <f>IFERROR(__xludf.DUMMYFUNCTION("""COMPUTED_VALUE"""),"x")</f>
        <v>x</v>
      </c>
      <c r="L1286" s="20" t="str">
        <f>IFERROR(__xludf.DUMMYFUNCTION("""COMPUTED_VALUE"""),"x")</f>
        <v>x</v>
      </c>
      <c r="M1286" s="19" t="str">
        <f>IFERROR(__xludf.DUMMYFUNCTION("""COMPUTED_VALUE"""),"PCM_2")</f>
        <v>PCM_2</v>
      </c>
      <c r="N1286" s="19" t="str">
        <f>IFERROR(__xludf.DUMMYFUNCTION("""COMPUTED_VALUE"""),"PRIORIDAD 1 Q3 2023 OCTUBRE")</f>
        <v>PRIORIDAD 1 Q3 2023 OCTUBRE</v>
      </c>
    </row>
    <row r="1287" ht="15.75" customHeight="1">
      <c r="A1287" s="19" t="str">
        <f>IFERROR(__xludf.DUMMYFUNCTION("""COMPUTED_VALUE"""),"AB_11294")</f>
        <v>AB_11294</v>
      </c>
      <c r="B1287" s="19" t="str">
        <f>IFERROR(__xludf.DUMMYFUNCTION("""COMPUTED_VALUE"""),"AB_11294_A")</f>
        <v>AB_11294_A</v>
      </c>
      <c r="C1287" s="19" t="str">
        <f>IFERROR(__xludf.DUMMYFUNCTION("""COMPUTED_VALUE"""),"RM11294")</f>
        <v>RM11294</v>
      </c>
      <c r="D1287" s="19" t="str">
        <f>IFERROR(__xludf.DUMMYFUNCTION("""COMPUTED_VALUE"""),"Quilin Norte RU")</f>
        <v>Quilin Norte RU</v>
      </c>
      <c r="E1287" s="19" t="str">
        <f>IFERROR(__xludf.DUMMYFUNCTION("""COMPUTED_VALUE"""),"SITIO RFI")</f>
        <v>SITIO RFI</v>
      </c>
      <c r="F1287" s="19"/>
      <c r="G1287" s="19" t="str">
        <f>IFERROR(__xludf.DUMMYFUNCTION("""COMPUTED_VALUE"""),"x")</f>
        <v>x</v>
      </c>
      <c r="H1287" s="19" t="str">
        <f>IFERROR(__xludf.DUMMYFUNCTION("""COMPUTED_VALUE"""),"x")</f>
        <v>x</v>
      </c>
      <c r="I1287" s="19" t="str">
        <f>IFERROR(__xludf.DUMMYFUNCTION("""COMPUTED_VALUE"""),"x")</f>
        <v>x</v>
      </c>
      <c r="J1287" s="20" t="str">
        <f>IFERROR(__xludf.DUMMYFUNCTION("""COMPUTED_VALUE"""),"x")</f>
        <v>x</v>
      </c>
      <c r="K1287" s="19" t="str">
        <f>IFERROR(__xludf.DUMMYFUNCTION("""COMPUTED_VALUE"""),"x")</f>
        <v>x</v>
      </c>
      <c r="L1287" s="20" t="str">
        <f>IFERROR(__xludf.DUMMYFUNCTION("""COMPUTED_VALUE"""),"x")</f>
        <v>x</v>
      </c>
      <c r="M1287" s="19" t="str">
        <f>IFERROR(__xludf.DUMMYFUNCTION("""COMPUTED_VALUE"""),"PCM_4")</f>
        <v>PCM_4</v>
      </c>
      <c r="N1287" s="19" t="str">
        <f>IFERROR(__xludf.DUMMYFUNCTION("""COMPUTED_VALUE"""),"PRIORIDAD 3 Q1 2024 MARZO")</f>
        <v>PRIORIDAD 3 Q1 2024 MARZO</v>
      </c>
    </row>
    <row r="1288" ht="15.75" customHeight="1">
      <c r="A1288" s="19" t="str">
        <f>IFERROR(__xludf.DUMMYFUNCTION("""COMPUTED_VALUE"""),"AB_11358")</f>
        <v>AB_11358</v>
      </c>
      <c r="B1288" s="19" t="str">
        <f>IFERROR(__xludf.DUMMYFUNCTION("""COMPUTED_VALUE"""),"AB_11358_A")</f>
        <v>AB_11358_A</v>
      </c>
      <c r="C1288" s="19" t="str">
        <f>IFERROR(__xludf.DUMMYFUNCTION("""COMPUTED_VALUE"""),"RM11358")</f>
        <v>RM11358</v>
      </c>
      <c r="D1288" s="19" t="str">
        <f>IFERROR(__xludf.DUMMYFUNCTION("""COMPUTED_VALUE"""),"Nueva Cementerio Israelita RU 2")</f>
        <v>Nueva Cementerio Israelita RU 2</v>
      </c>
      <c r="E1288" s="19" t="str">
        <f>IFERROR(__xludf.DUMMYFUNCTION("""COMPUTED_VALUE"""),"SITIO RFI")</f>
        <v>SITIO RFI</v>
      </c>
      <c r="F1288" s="19"/>
      <c r="G1288" s="19" t="str">
        <f>IFERROR(__xludf.DUMMYFUNCTION("""COMPUTED_VALUE"""),"x")</f>
        <v>x</v>
      </c>
      <c r="H1288" s="19" t="str">
        <f>IFERROR(__xludf.DUMMYFUNCTION("""COMPUTED_VALUE"""),"x")</f>
        <v>x</v>
      </c>
      <c r="I1288" s="19" t="str">
        <f>IFERROR(__xludf.DUMMYFUNCTION("""COMPUTED_VALUE"""),"x")</f>
        <v>x</v>
      </c>
      <c r="J1288" s="20" t="str">
        <f>IFERROR(__xludf.DUMMYFUNCTION("""COMPUTED_VALUE"""),"x")</f>
        <v>x</v>
      </c>
      <c r="K1288" s="19" t="str">
        <f>IFERROR(__xludf.DUMMYFUNCTION("""COMPUTED_VALUE"""),"x")</f>
        <v>x</v>
      </c>
      <c r="L1288" s="20" t="str">
        <f>IFERROR(__xludf.DUMMYFUNCTION("""COMPUTED_VALUE"""),"x")</f>
        <v>x</v>
      </c>
      <c r="M1288" s="19" t="str">
        <f>IFERROR(__xludf.DUMMYFUNCTION("""COMPUTED_VALUE"""),"PCM_4")</f>
        <v>PCM_4</v>
      </c>
      <c r="N1288" s="19" t="str">
        <f>IFERROR(__xludf.DUMMYFUNCTION("""COMPUTED_VALUE"""),"PRIORIDAD 3 Q1 2024 MARZO")</f>
        <v>PRIORIDAD 3 Q1 2024 MARZO</v>
      </c>
    </row>
    <row r="1289" ht="15.75" customHeight="1">
      <c r="A1289" s="19" t="str">
        <f>IFERROR(__xludf.DUMMYFUNCTION("""COMPUTED_VALUE"""),"AB_11657")</f>
        <v>AB_11657</v>
      </c>
      <c r="B1289" s="19" t="str">
        <f>IFERROR(__xludf.DUMMYFUNCTION("""COMPUTED_VALUE"""),"AB_11657_A")</f>
        <v>AB_11657_A</v>
      </c>
      <c r="C1289" s="19" t="str">
        <f>IFERROR(__xludf.DUMMYFUNCTION("""COMPUTED_VALUE"""),"RM11657")</f>
        <v>RM11657</v>
      </c>
      <c r="D1289" s="19" t="str">
        <f>IFERROR(__xludf.DUMMYFUNCTION("""COMPUTED_VALUE"""),"Monte Albenia RU")</f>
        <v>Monte Albenia RU</v>
      </c>
      <c r="E1289" s="19" t="str">
        <f>IFERROR(__xludf.DUMMYFUNCTION("""COMPUTED_VALUE"""),"SITIO RFI")</f>
        <v>SITIO RFI</v>
      </c>
      <c r="F1289" s="19"/>
      <c r="G1289" s="19" t="str">
        <f>IFERROR(__xludf.DUMMYFUNCTION("""COMPUTED_VALUE"""),"x")</f>
        <v>x</v>
      </c>
      <c r="H1289" s="19" t="str">
        <f>IFERROR(__xludf.DUMMYFUNCTION("""COMPUTED_VALUE"""),"x")</f>
        <v>x</v>
      </c>
      <c r="I1289" s="19" t="str">
        <f>IFERROR(__xludf.DUMMYFUNCTION("""COMPUTED_VALUE"""),"x")</f>
        <v>x</v>
      </c>
      <c r="J1289" s="20" t="str">
        <f>IFERROR(__xludf.DUMMYFUNCTION("""COMPUTED_VALUE"""),"x")</f>
        <v>x</v>
      </c>
      <c r="K1289" s="19" t="str">
        <f>IFERROR(__xludf.DUMMYFUNCTION("""COMPUTED_VALUE"""),"x")</f>
        <v>x</v>
      </c>
      <c r="L1289" s="20" t="str">
        <f>IFERROR(__xludf.DUMMYFUNCTION("""COMPUTED_VALUE"""),"x")</f>
        <v>x</v>
      </c>
      <c r="M1289" s="19" t="str">
        <f>IFERROR(__xludf.DUMMYFUNCTION("""COMPUTED_VALUE"""),"PCM_4")</f>
        <v>PCM_4</v>
      </c>
      <c r="N1289" s="19" t="str">
        <f>IFERROR(__xludf.DUMMYFUNCTION("""COMPUTED_VALUE"""),"PCM_5")</f>
        <v>PCM_5</v>
      </c>
    </row>
    <row r="1290" ht="15.75" customHeight="1">
      <c r="A1290" s="19" t="str">
        <f>IFERROR(__xludf.DUMMYFUNCTION("""COMPUTED_VALUE"""),"AB_1482")</f>
        <v>AB_1482</v>
      </c>
      <c r="B1290" s="19" t="str">
        <f>IFERROR(__xludf.DUMMYFUNCTION("""COMPUTED_VALUE"""),"AB_1482_B")</f>
        <v>AB_1482_B</v>
      </c>
      <c r="C1290" s="19" t="str">
        <f>IFERROR(__xludf.DUMMYFUNCTION("""COMPUTED_VALUE"""),"RM1482")</f>
        <v>RM1482</v>
      </c>
      <c r="D1290" s="19" t="str">
        <f>IFERROR(__xludf.DUMMYFUNCTION("""COMPUTED_VALUE"""),"Cuesta Barriga Curacavi")</f>
        <v>Cuesta Barriga Curacavi</v>
      </c>
      <c r="E1290" s="19" t="str">
        <f>IFERROR(__xludf.DUMMYFUNCTION("""COMPUTED_VALUE"""),"SITIO RFI")</f>
        <v>SITIO RFI</v>
      </c>
      <c r="F1290" s="19"/>
      <c r="G1290" s="19" t="str">
        <f>IFERROR(__xludf.DUMMYFUNCTION("""COMPUTED_VALUE"""),"x")</f>
        <v>x</v>
      </c>
      <c r="H1290" s="19" t="str">
        <f>IFERROR(__xludf.DUMMYFUNCTION("""COMPUTED_VALUE"""),"x")</f>
        <v>x</v>
      </c>
      <c r="I1290" s="19" t="str">
        <f>IFERROR(__xludf.DUMMYFUNCTION("""COMPUTED_VALUE"""),"x")</f>
        <v>x</v>
      </c>
      <c r="J1290" s="20" t="str">
        <f>IFERROR(__xludf.DUMMYFUNCTION("""COMPUTED_VALUE"""),"x")</f>
        <v>x</v>
      </c>
      <c r="K1290" s="19" t="str">
        <f>IFERROR(__xludf.DUMMYFUNCTION("""COMPUTED_VALUE"""),"x")</f>
        <v>x</v>
      </c>
      <c r="L1290" s="20" t="str">
        <f>IFERROR(__xludf.DUMMYFUNCTION("""COMPUTED_VALUE"""),"x")</f>
        <v>x</v>
      </c>
      <c r="M1290" s="19" t="str">
        <f>IFERROR(__xludf.DUMMYFUNCTION("""COMPUTED_VALUE"""),"PCM")</f>
        <v>PCM</v>
      </c>
      <c r="N1290" s="19" t="str">
        <f>IFERROR(__xludf.DUMMYFUNCTION("""COMPUTED_VALUE"""),"PRIORIDAD 1 Q3 2023 OCTUBRE")</f>
        <v>PRIORIDAD 1 Q3 2023 OCTUBRE</v>
      </c>
    </row>
    <row r="1291" ht="15.75" customHeight="1">
      <c r="A1291" s="19" t="str">
        <f>IFERROR(__xludf.DUMMYFUNCTION("""COMPUTED_VALUE"""),"AB_3605")</f>
        <v>AB_3605</v>
      </c>
      <c r="B1291" s="19" t="str">
        <f>IFERROR(__xludf.DUMMYFUNCTION("""COMPUTED_VALUE"""),"AB_3605_M")</f>
        <v>AB_3605_M</v>
      </c>
      <c r="C1291" s="19" t="str">
        <f>IFERROR(__xludf.DUMMYFUNCTION("""COMPUTED_VALUE"""),"RM3605")</f>
        <v>RM3605</v>
      </c>
      <c r="D1291" s="19" t="str">
        <f>IFERROR(__xludf.DUMMYFUNCTION("""COMPUTED_VALUE"""),"Embotelladora Andina")</f>
        <v>Embotelladora Andina</v>
      </c>
      <c r="E1291" s="19" t="str">
        <f>IFERROR(__xludf.DUMMYFUNCTION("""COMPUTED_VALUE"""),"SITIO ASIGNADO")</f>
        <v>SITIO ASIGNADO</v>
      </c>
      <c r="F1291" s="19"/>
      <c r="G1291" s="19" t="str">
        <f>IFERROR(__xludf.DUMMYFUNCTION("""COMPUTED_VALUE"""),"x")</f>
        <v>x</v>
      </c>
      <c r="H1291" s="19" t="str">
        <f>IFERROR(__xludf.DUMMYFUNCTION("""COMPUTED_VALUE"""),"x")</f>
        <v>x</v>
      </c>
      <c r="I1291" s="19" t="str">
        <f>IFERROR(__xludf.DUMMYFUNCTION("""COMPUTED_VALUE"""),"x")</f>
        <v>x</v>
      </c>
      <c r="J1291" s="20" t="str">
        <f>IFERROR(__xludf.DUMMYFUNCTION("""COMPUTED_VALUE"""),"x")</f>
        <v>x</v>
      </c>
      <c r="K1291" s="19" t="str">
        <f>IFERROR(__xludf.DUMMYFUNCTION("""COMPUTED_VALUE"""),"x")</f>
        <v>x</v>
      </c>
      <c r="L1291" s="20" t="str">
        <f>IFERROR(__xludf.DUMMYFUNCTION("""COMPUTED_VALUE"""),"x")</f>
        <v>x</v>
      </c>
      <c r="M1291" s="19" t="str">
        <f>IFERROR(__xludf.DUMMYFUNCTION("""COMPUTED_VALUE"""),"PCM")</f>
        <v>PCM</v>
      </c>
      <c r="N1291" s="19" t="str">
        <f>IFERROR(__xludf.DUMMYFUNCTION("""COMPUTED_VALUE"""),"PRIORIDAD 1 Q3 2023 OCTUBRE")</f>
        <v>PRIORIDAD 1 Q3 2023 OCTUBRE</v>
      </c>
    </row>
    <row r="1292" ht="15.75" customHeight="1">
      <c r="A1292" s="19" t="str">
        <f>IFERROR(__xludf.DUMMYFUNCTION("""COMPUTED_VALUE"""),"AB_3755")</f>
        <v>AB_3755</v>
      </c>
      <c r="B1292" s="19" t="str">
        <f>IFERROR(__xludf.DUMMYFUNCTION("""COMPUTED_VALUE"""),"AB_3755_L")</f>
        <v>AB_3755_L</v>
      </c>
      <c r="C1292" s="19" t="str">
        <f>IFERROR(__xludf.DUMMYFUNCTION("""COMPUTED_VALUE"""),"RM3755")</f>
        <v>RM3755</v>
      </c>
      <c r="D1292" s="19" t="str">
        <f>IFERROR(__xludf.DUMMYFUNCTION("""COMPUTED_VALUE"""),"Paicavi La Pintana")</f>
        <v>Paicavi La Pintana</v>
      </c>
      <c r="E1292" s="19" t="str">
        <f>IFERROR(__xludf.DUMMYFUNCTION("""COMPUTED_VALUE"""),"SITIO RFI")</f>
        <v>SITIO RFI</v>
      </c>
      <c r="F1292" s="19"/>
      <c r="G1292" s="19" t="str">
        <f>IFERROR(__xludf.DUMMYFUNCTION("""COMPUTED_VALUE"""),"x")</f>
        <v>x</v>
      </c>
      <c r="H1292" s="19" t="str">
        <f>IFERROR(__xludf.DUMMYFUNCTION("""COMPUTED_VALUE"""),"x")</f>
        <v>x</v>
      </c>
      <c r="I1292" s="19" t="str">
        <f>IFERROR(__xludf.DUMMYFUNCTION("""COMPUTED_VALUE"""),"x")</f>
        <v>x</v>
      </c>
      <c r="J1292" s="20" t="str">
        <f>IFERROR(__xludf.DUMMYFUNCTION("""COMPUTED_VALUE"""),"x")</f>
        <v>x</v>
      </c>
      <c r="K1292" s="19" t="str">
        <f>IFERROR(__xludf.DUMMYFUNCTION("""COMPUTED_VALUE"""),"x")</f>
        <v>x</v>
      </c>
      <c r="L1292" s="20" t="str">
        <f>IFERROR(__xludf.DUMMYFUNCTION("""COMPUTED_VALUE"""),"x")</f>
        <v>x</v>
      </c>
      <c r="M1292" s="19" t="str">
        <f>IFERROR(__xludf.DUMMYFUNCTION("""COMPUTED_VALUE"""),"PCM")</f>
        <v>PCM</v>
      </c>
      <c r="N1292" s="19" t="str">
        <f>IFERROR(__xludf.DUMMYFUNCTION("""COMPUTED_VALUE"""),"PRIORIDAD 1 Q3 2023 OCTUBRE")</f>
        <v>PRIORIDAD 1 Q3 2023 OCTUBRE</v>
      </c>
    </row>
    <row r="1293" ht="15.75" customHeight="1">
      <c r="A1293" s="19" t="str">
        <f>IFERROR(__xludf.DUMMYFUNCTION("""COMPUTED_VALUE"""),"AB_3808")</f>
        <v>AB_3808</v>
      </c>
      <c r="B1293" s="19" t="str">
        <f>IFERROR(__xludf.DUMMYFUNCTION("""COMPUTED_VALUE"""),"AB_3808_E")</f>
        <v>AB_3808_E</v>
      </c>
      <c r="C1293" s="19" t="str">
        <f>IFERROR(__xludf.DUMMYFUNCTION("""COMPUTED_VALUE"""),"RM3808")</f>
        <v>RM3808</v>
      </c>
      <c r="D1293" s="19" t="str">
        <f>IFERROR(__xludf.DUMMYFUNCTION("""COMPUTED_VALUE"""),"Cuesta San Pedro")</f>
        <v>Cuesta San Pedro</v>
      </c>
      <c r="E1293" s="19" t="str">
        <f>IFERROR(__xludf.DUMMYFUNCTION("""COMPUTED_VALUE"""),"SITIO RFI")</f>
        <v>SITIO RFI</v>
      </c>
      <c r="F1293" s="19"/>
      <c r="G1293" s="19" t="str">
        <f>IFERROR(__xludf.DUMMYFUNCTION("""COMPUTED_VALUE"""),"x")</f>
        <v>x</v>
      </c>
      <c r="H1293" s="19" t="str">
        <f>IFERROR(__xludf.DUMMYFUNCTION("""COMPUTED_VALUE"""),"x")</f>
        <v>x</v>
      </c>
      <c r="I1293" s="19" t="str">
        <f>IFERROR(__xludf.DUMMYFUNCTION("""COMPUTED_VALUE"""),"x")</f>
        <v>x</v>
      </c>
      <c r="J1293" s="20" t="str">
        <f>IFERROR(__xludf.DUMMYFUNCTION("""COMPUTED_VALUE"""),"x")</f>
        <v>x</v>
      </c>
      <c r="K1293" s="19" t="str">
        <f>IFERROR(__xludf.DUMMYFUNCTION("""COMPUTED_VALUE"""),"x")</f>
        <v>x</v>
      </c>
      <c r="L1293" s="20" t="str">
        <f>IFERROR(__xludf.DUMMYFUNCTION("""COMPUTED_VALUE"""),"x")</f>
        <v>x</v>
      </c>
      <c r="M1293" s="19" t="str">
        <f>IFERROR(__xludf.DUMMYFUNCTION("""COMPUTED_VALUE"""),"PCM")</f>
        <v>PCM</v>
      </c>
      <c r="N1293" s="19" t="str">
        <f>IFERROR(__xludf.DUMMYFUNCTION("""COMPUTED_VALUE"""),"PRIORIDAD 1 Q3 2023 OCTUBRE")</f>
        <v>PRIORIDAD 1 Q3 2023 OCTUBRE</v>
      </c>
    </row>
    <row r="1294" ht="15.75" customHeight="1">
      <c r="A1294" s="19" t="str">
        <f>IFERROR(__xludf.DUMMYFUNCTION("""COMPUTED_VALUE"""),"AB_4974")</f>
        <v>AB_4974</v>
      </c>
      <c r="B1294" s="19" t="str">
        <f>IFERROR(__xludf.DUMMYFUNCTION("""COMPUTED_VALUE"""),"AB_4974_B")</f>
        <v>AB_4974_B</v>
      </c>
      <c r="C1294" s="19" t="str">
        <f>IFERROR(__xludf.DUMMYFUNCTION("""COMPUTED_VALUE"""),"RM4974")</f>
        <v>RM4974</v>
      </c>
      <c r="D1294" s="19" t="str">
        <f>IFERROR(__xludf.DUMMYFUNCTION("""COMPUTED_VALUE"""),"Refugio Lo Valdes")</f>
        <v>Refugio Lo Valdes</v>
      </c>
      <c r="E1294" s="19" t="str">
        <f>IFERROR(__xludf.DUMMYFUNCTION("""COMPUTED_VALUE"""),"SITIO EN CONSTRUCCION")</f>
        <v>SITIO EN CONSTRUCCION</v>
      </c>
      <c r="F1294" s="19"/>
      <c r="G1294" s="19" t="str">
        <f>IFERROR(__xludf.DUMMYFUNCTION("""COMPUTED_VALUE"""),"x")</f>
        <v>x</v>
      </c>
      <c r="H1294" s="19" t="str">
        <f>IFERROR(__xludf.DUMMYFUNCTION("""COMPUTED_VALUE"""),"x")</f>
        <v>x</v>
      </c>
      <c r="I1294" s="19" t="str">
        <f>IFERROR(__xludf.DUMMYFUNCTION("""COMPUTED_VALUE"""),"x")</f>
        <v>x</v>
      </c>
      <c r="J1294" s="20" t="str">
        <f>IFERROR(__xludf.DUMMYFUNCTION("""COMPUTED_VALUE"""),"x")</f>
        <v>x</v>
      </c>
      <c r="K1294" s="19" t="str">
        <f>IFERROR(__xludf.DUMMYFUNCTION("""COMPUTED_VALUE"""),"x")</f>
        <v>x</v>
      </c>
      <c r="L1294" s="20" t="str">
        <f>IFERROR(__xludf.DUMMYFUNCTION("""COMPUTED_VALUE"""),"x")</f>
        <v>x</v>
      </c>
      <c r="M1294" s="19" t="str">
        <f>IFERROR(__xludf.DUMMYFUNCTION("""COMPUTED_VALUE"""),"PP")</f>
        <v>PP</v>
      </c>
      <c r="N1294" s="19" t="str">
        <f>IFERROR(__xludf.DUMMYFUNCTION("""COMPUTED_VALUE"""),"PRIORIDAD 1 Q3 2023 OCTUBRE")</f>
        <v>PRIORIDAD 1 Q3 2023 OCTUBRE</v>
      </c>
    </row>
    <row r="1295" ht="15.75" customHeight="1">
      <c r="A1295" s="19" t="str">
        <f>IFERROR(__xludf.DUMMYFUNCTION("""COMPUTED_VALUE"""),"AB_5217")</f>
        <v>AB_5217</v>
      </c>
      <c r="B1295" s="19" t="str">
        <f>IFERROR(__xludf.DUMMYFUNCTION("""COMPUTED_VALUE"""),"AB_5217_E")</f>
        <v>AB_5217_E</v>
      </c>
      <c r="C1295" s="19" t="str">
        <f>IFERROR(__xludf.DUMMYFUNCTION("""COMPUTED_VALUE"""),"RM5217")</f>
        <v>RM5217</v>
      </c>
      <c r="D1295" s="19" t="str">
        <f>IFERROR(__xludf.DUMMYFUNCTION("""COMPUTED_VALUE"""),"Los Corraleros")</f>
        <v>Los Corraleros</v>
      </c>
      <c r="E1295" s="19" t="str">
        <f>IFERROR(__xludf.DUMMYFUNCTION("""COMPUTED_VALUE"""),"SITIO RFI")</f>
        <v>SITIO RFI</v>
      </c>
      <c r="F1295" s="19"/>
      <c r="G1295" s="19" t="str">
        <f>IFERROR(__xludf.DUMMYFUNCTION("""COMPUTED_VALUE"""),"x")</f>
        <v>x</v>
      </c>
      <c r="H1295" s="19" t="str">
        <f>IFERROR(__xludf.DUMMYFUNCTION("""COMPUTED_VALUE"""),"x")</f>
        <v>x</v>
      </c>
      <c r="I1295" s="19" t="str">
        <f>IFERROR(__xludf.DUMMYFUNCTION("""COMPUTED_VALUE"""),"x")</f>
        <v>x</v>
      </c>
      <c r="J1295" s="20" t="str">
        <f>IFERROR(__xludf.DUMMYFUNCTION("""COMPUTED_VALUE"""),"x")</f>
        <v>x</v>
      </c>
      <c r="K1295" s="19" t="str">
        <f>IFERROR(__xludf.DUMMYFUNCTION("""COMPUTED_VALUE"""),"x")</f>
        <v>x</v>
      </c>
      <c r="L1295" s="20" t="str">
        <f>IFERROR(__xludf.DUMMYFUNCTION("""COMPUTED_VALUE"""),"x")</f>
        <v>x</v>
      </c>
      <c r="M1295" s="19" t="str">
        <f>IFERROR(__xludf.DUMMYFUNCTION("""COMPUTED_VALUE"""),"PCM")</f>
        <v>PCM</v>
      </c>
      <c r="N1295" s="19" t="str">
        <f>IFERROR(__xludf.DUMMYFUNCTION("""COMPUTED_VALUE"""),"PRIORIDAD 1 Q3 2023 OCTUBRE")</f>
        <v>PRIORIDAD 1 Q3 2023 OCTUBRE</v>
      </c>
    </row>
    <row r="1296" ht="15.75" customHeight="1">
      <c r="A1296" s="19" t="str">
        <f>IFERROR(__xludf.DUMMYFUNCTION("""COMPUTED_VALUE"""),"AB_5609")</f>
        <v>AB_5609</v>
      </c>
      <c r="B1296" s="19" t="str">
        <f>IFERROR(__xludf.DUMMYFUNCTION("""COMPUTED_VALUE"""),"AB_5609_D")</f>
        <v>AB_5609_D</v>
      </c>
      <c r="C1296" s="19" t="str">
        <f>IFERROR(__xludf.DUMMYFUNCTION("""COMPUTED_VALUE"""),"RM5609")</f>
        <v>RM5609</v>
      </c>
      <c r="D1296" s="19" t="str">
        <f>IFERROR(__xludf.DUMMYFUNCTION("""COMPUTED_VALUE"""),"Universidad Mayor Huechuraba")</f>
        <v>Universidad Mayor Huechuraba</v>
      </c>
      <c r="E1296" s="19" t="str">
        <f>IFERROR(__xludf.DUMMYFUNCTION("""COMPUTED_VALUE"""),"SITIO RFI")</f>
        <v>SITIO RFI</v>
      </c>
      <c r="F1296" s="19"/>
      <c r="G1296" s="19" t="str">
        <f>IFERROR(__xludf.DUMMYFUNCTION("""COMPUTED_VALUE"""),"x")</f>
        <v>x</v>
      </c>
      <c r="H1296" s="19" t="str">
        <f>IFERROR(__xludf.DUMMYFUNCTION("""COMPUTED_VALUE"""),"x")</f>
        <v>x</v>
      </c>
      <c r="I1296" s="19" t="str">
        <f>IFERROR(__xludf.DUMMYFUNCTION("""COMPUTED_VALUE"""),"x")</f>
        <v>x</v>
      </c>
      <c r="J1296" s="20" t="str">
        <f>IFERROR(__xludf.DUMMYFUNCTION("""COMPUTED_VALUE"""),"x")</f>
        <v>x</v>
      </c>
      <c r="K1296" s="19" t="str">
        <f>IFERROR(__xludf.DUMMYFUNCTION("""COMPUTED_VALUE"""),"x")</f>
        <v>x</v>
      </c>
      <c r="L1296" s="20" t="str">
        <f>IFERROR(__xludf.DUMMYFUNCTION("""COMPUTED_VALUE"""),"x")</f>
        <v>x</v>
      </c>
      <c r="M1296" s="19" t="str">
        <f>IFERROR(__xludf.DUMMYFUNCTION("""COMPUTED_VALUE"""),"PCM")</f>
        <v>PCM</v>
      </c>
      <c r="N1296" s="19" t="str">
        <f>IFERROR(__xludf.DUMMYFUNCTION("""COMPUTED_VALUE"""),"PRIORIDAD 1 Q3 2023 OCTUBRE")</f>
        <v>PRIORIDAD 1 Q3 2023 OCTUBRE</v>
      </c>
    </row>
    <row r="1297" ht="15.75" customHeight="1">
      <c r="A1297" s="19" t="str">
        <f>IFERROR(__xludf.DUMMYFUNCTION("""COMPUTED_VALUE"""),"AB_7512")</f>
        <v>AB_7512</v>
      </c>
      <c r="B1297" s="19" t="str">
        <f>IFERROR(__xludf.DUMMYFUNCTION("""COMPUTED_VALUE"""),"AB_7512_D")</f>
        <v>AB_7512_D</v>
      </c>
      <c r="C1297" s="19" t="str">
        <f>IFERROR(__xludf.DUMMYFUNCTION("""COMPUTED_VALUE"""),"RM7512")</f>
        <v>RM7512</v>
      </c>
      <c r="D1297" s="19" t="str">
        <f>IFERROR(__xludf.DUMMYFUNCTION("""COMPUTED_VALUE"""),"Sartre San Bernardo")</f>
        <v>Sartre San Bernardo</v>
      </c>
      <c r="E1297" s="19" t="str">
        <f>IFERROR(__xludf.DUMMYFUNCTION("""COMPUTED_VALUE"""),"SITIO RFI")</f>
        <v>SITIO RFI</v>
      </c>
      <c r="F1297" s="19"/>
      <c r="G1297" s="19" t="str">
        <f>IFERROR(__xludf.DUMMYFUNCTION("""COMPUTED_VALUE"""),"x")</f>
        <v>x</v>
      </c>
      <c r="H1297" s="19" t="str">
        <f>IFERROR(__xludf.DUMMYFUNCTION("""COMPUTED_VALUE"""),"x")</f>
        <v>x</v>
      </c>
      <c r="I1297" s="19" t="str">
        <f>IFERROR(__xludf.DUMMYFUNCTION("""COMPUTED_VALUE"""),"x")</f>
        <v>x</v>
      </c>
      <c r="J1297" s="20" t="str">
        <f>IFERROR(__xludf.DUMMYFUNCTION("""COMPUTED_VALUE"""),"x")</f>
        <v>x</v>
      </c>
      <c r="K1297" s="19" t="str">
        <f>IFERROR(__xludf.DUMMYFUNCTION("""COMPUTED_VALUE"""),"x")</f>
        <v>x</v>
      </c>
      <c r="L1297" s="20" t="str">
        <f>IFERROR(__xludf.DUMMYFUNCTION("""COMPUTED_VALUE"""),"x")</f>
        <v>x</v>
      </c>
      <c r="M1297" s="19" t="str">
        <f>IFERROR(__xludf.DUMMYFUNCTION("""COMPUTED_VALUE"""),"PCM")</f>
        <v>PCM</v>
      </c>
      <c r="N1297" s="19" t="str">
        <f>IFERROR(__xludf.DUMMYFUNCTION("""COMPUTED_VALUE"""),"PRIORIDAD 1 Q3 2023 OCTUBRE")</f>
        <v>PRIORIDAD 1 Q3 2023 OCTUBRE</v>
      </c>
    </row>
    <row r="1298" ht="15.75" customHeight="1">
      <c r="A1298" s="19" t="str">
        <f>IFERROR(__xludf.DUMMYFUNCTION("""COMPUTED_VALUE"""),"AB_8162")</f>
        <v>AB_8162</v>
      </c>
      <c r="B1298" s="19" t="str">
        <f>IFERROR(__xludf.DUMMYFUNCTION("""COMPUTED_VALUE"""),"AB_8162_C")</f>
        <v>AB_8162_C</v>
      </c>
      <c r="C1298" s="19" t="str">
        <f>IFERROR(__xludf.DUMMYFUNCTION("""COMPUTED_VALUE"""),"RM8162")</f>
        <v>RM8162</v>
      </c>
      <c r="D1298" s="19" t="str">
        <f>IFERROR(__xludf.DUMMYFUNCTION("""COMPUTED_VALUE"""),"La Farfana Pueblo")</f>
        <v>La Farfana Pueblo</v>
      </c>
      <c r="E1298" s="19" t="str">
        <f>IFERROR(__xludf.DUMMYFUNCTION("""COMPUTED_VALUE"""),"SITIO RFI")</f>
        <v>SITIO RFI</v>
      </c>
      <c r="F1298" s="19"/>
      <c r="G1298" s="19" t="str">
        <f>IFERROR(__xludf.DUMMYFUNCTION("""COMPUTED_VALUE"""),"x")</f>
        <v>x</v>
      </c>
      <c r="H1298" s="19" t="str">
        <f>IFERROR(__xludf.DUMMYFUNCTION("""COMPUTED_VALUE"""),"x")</f>
        <v>x</v>
      </c>
      <c r="I1298" s="19" t="str">
        <f>IFERROR(__xludf.DUMMYFUNCTION("""COMPUTED_VALUE"""),"x")</f>
        <v>x</v>
      </c>
      <c r="J1298" s="20" t="str">
        <f>IFERROR(__xludf.DUMMYFUNCTION("""COMPUTED_VALUE"""),"x")</f>
        <v>x</v>
      </c>
      <c r="K1298" s="19" t="str">
        <f>IFERROR(__xludf.DUMMYFUNCTION("""COMPUTED_VALUE"""),"x")</f>
        <v>x</v>
      </c>
      <c r="L1298" s="20" t="str">
        <f>IFERROR(__xludf.DUMMYFUNCTION("""COMPUTED_VALUE"""),"x")</f>
        <v>x</v>
      </c>
      <c r="M1298" s="19" t="str">
        <f>IFERROR(__xludf.DUMMYFUNCTION("""COMPUTED_VALUE"""),"PCM")</f>
        <v>PCM</v>
      </c>
      <c r="N1298" s="19" t="str">
        <f>IFERROR(__xludf.DUMMYFUNCTION("""COMPUTED_VALUE"""),"PRIORIDAD 1 Q3 2023 OCTUBRE")</f>
        <v>PRIORIDAD 1 Q3 2023 OCTUBRE</v>
      </c>
    </row>
    <row r="1299" ht="15.75" customHeight="1">
      <c r="A1299" s="19" t="str">
        <f>IFERROR(__xludf.DUMMYFUNCTION("""COMPUTED_VALUE"""),"AB_8599")</f>
        <v>AB_8599</v>
      </c>
      <c r="B1299" s="19" t="str">
        <f>IFERROR(__xludf.DUMMYFUNCTION("""COMPUTED_VALUE"""),"AB_8599_A")</f>
        <v>AB_8599_A</v>
      </c>
      <c r="C1299" s="19" t="str">
        <f>IFERROR(__xludf.DUMMYFUNCTION("""COMPUTED_VALUE"""),"RM8599")</f>
        <v>RM8599</v>
      </c>
      <c r="D1299" s="19" t="str">
        <f>IFERROR(__xludf.DUMMYFUNCTION("""COMPUTED_VALUE"""),"Cuesta Tunel Lo Prado")</f>
        <v>Cuesta Tunel Lo Prado</v>
      </c>
      <c r="E1299" s="19" t="str">
        <f>IFERROR(__xludf.DUMMYFUNCTION("""COMPUTED_VALUE"""),"SITIO RFC")</f>
        <v>SITIO RFC</v>
      </c>
      <c r="F1299" s="19"/>
      <c r="G1299" s="19" t="str">
        <f>IFERROR(__xludf.DUMMYFUNCTION("""COMPUTED_VALUE"""),"x")</f>
        <v>x</v>
      </c>
      <c r="H1299" s="19" t="str">
        <f>IFERROR(__xludf.DUMMYFUNCTION("""COMPUTED_VALUE"""),"x")</f>
        <v>x</v>
      </c>
      <c r="I1299" s="19" t="str">
        <f>IFERROR(__xludf.DUMMYFUNCTION("""COMPUTED_VALUE"""),"x")</f>
        <v>x</v>
      </c>
      <c r="J1299" s="20" t="str">
        <f>IFERROR(__xludf.DUMMYFUNCTION("""COMPUTED_VALUE"""),"x")</f>
        <v>x</v>
      </c>
      <c r="K1299" s="19" t="str">
        <f>IFERROR(__xludf.DUMMYFUNCTION("""COMPUTED_VALUE"""),"x")</f>
        <v>x</v>
      </c>
      <c r="L1299" s="20" t="str">
        <f>IFERROR(__xludf.DUMMYFUNCTION("""COMPUTED_VALUE"""),"x")</f>
        <v>x</v>
      </c>
      <c r="M1299" s="19" t="str">
        <f>IFERROR(__xludf.DUMMYFUNCTION("""COMPUTED_VALUE"""),"PP")</f>
        <v>PP</v>
      </c>
      <c r="N1299" s="19" t="str">
        <f>IFERROR(__xludf.DUMMYFUNCTION("""COMPUTED_VALUE"""),"PRIORIDAD 1 Q3 2023 OCTUBRE")</f>
        <v>PRIORIDAD 1 Q3 2023 OCTUBRE</v>
      </c>
    </row>
    <row r="1300" ht="15.75" customHeight="1">
      <c r="A1300" s="19" t="str">
        <f>IFERROR(__xludf.DUMMYFUNCTION("""COMPUTED_VALUE"""),"AB_8614")</f>
        <v>AB_8614</v>
      </c>
      <c r="B1300" s="19" t="str">
        <f>IFERROR(__xludf.DUMMYFUNCTION("""COMPUTED_VALUE"""),"AB_8614_I")</f>
        <v>AB_8614_I</v>
      </c>
      <c r="C1300" s="19" t="str">
        <f>IFERROR(__xludf.DUMMYFUNCTION("""COMPUTED_VALUE"""),"RM8614")</f>
        <v>RM8614</v>
      </c>
      <c r="D1300" s="19" t="str">
        <f>IFERROR(__xludf.DUMMYFUNCTION("""COMPUTED_VALUE"""),"Mirador del Valle Norte")</f>
        <v>Mirador del Valle Norte</v>
      </c>
      <c r="E1300" s="19" t="str">
        <f>IFERROR(__xludf.DUMMYFUNCTION("""COMPUTED_VALUE"""),"SITIO RFC")</f>
        <v>SITIO RFC</v>
      </c>
      <c r="F1300" s="19"/>
      <c r="G1300" s="19" t="str">
        <f>IFERROR(__xludf.DUMMYFUNCTION("""COMPUTED_VALUE"""),"x")</f>
        <v>x</v>
      </c>
      <c r="H1300" s="19" t="str">
        <f>IFERROR(__xludf.DUMMYFUNCTION("""COMPUTED_VALUE"""),"x")</f>
        <v>x</v>
      </c>
      <c r="I1300" s="19" t="str">
        <f>IFERROR(__xludf.DUMMYFUNCTION("""COMPUTED_VALUE"""),"x")</f>
        <v>x</v>
      </c>
      <c r="J1300" s="20" t="str">
        <f>IFERROR(__xludf.DUMMYFUNCTION("""COMPUTED_VALUE"""),"x")</f>
        <v>x</v>
      </c>
      <c r="K1300" s="19" t="str">
        <f>IFERROR(__xludf.DUMMYFUNCTION("""COMPUTED_VALUE"""),"x")</f>
        <v>x</v>
      </c>
      <c r="L1300" s="20" t="str">
        <f>IFERROR(__xludf.DUMMYFUNCTION("""COMPUTED_VALUE"""),"x")</f>
        <v>x</v>
      </c>
      <c r="M1300" s="19" t="str">
        <f>IFERROR(__xludf.DUMMYFUNCTION("""COMPUTED_VALUE"""),"PP")</f>
        <v>PP</v>
      </c>
      <c r="N1300" s="19" t="str">
        <f>IFERROR(__xludf.DUMMYFUNCTION("""COMPUTED_VALUE"""),"PRIORIDAD 1 Q3 2023 OCTUBRE")</f>
        <v>PRIORIDAD 1 Q3 2023 OCTUBRE</v>
      </c>
    </row>
    <row r="1301" ht="15.75" customHeight="1">
      <c r="A1301" s="19" t="str">
        <f>IFERROR(__xludf.DUMMYFUNCTION("""COMPUTED_VALUE"""),"AB_8983")</f>
        <v>AB_8983</v>
      </c>
      <c r="B1301" s="19" t="str">
        <f>IFERROR(__xludf.DUMMYFUNCTION("""COMPUTED_VALUE"""),"AB_8983_C")</f>
        <v>AB_8983_C</v>
      </c>
      <c r="C1301" s="19" t="str">
        <f>IFERROR(__xludf.DUMMYFUNCTION("""COMPUTED_VALUE"""),"RM8983")</f>
        <v>RM8983</v>
      </c>
      <c r="D1301" s="19" t="str">
        <f>IFERROR(__xludf.DUMMYFUNCTION("""COMPUTED_VALUE"""),"El Manzano Sur camino al Volcan")</f>
        <v>El Manzano Sur camino al Volcan</v>
      </c>
      <c r="E1301" s="19" t="str">
        <f>IFERROR(__xludf.DUMMYFUNCTION("""COMPUTED_VALUE"""),"SITIO RFI")</f>
        <v>SITIO RFI</v>
      </c>
      <c r="F1301" s="19"/>
      <c r="G1301" s="19" t="str">
        <f>IFERROR(__xludf.DUMMYFUNCTION("""COMPUTED_VALUE"""),"x")</f>
        <v>x</v>
      </c>
      <c r="H1301" s="19" t="str">
        <f>IFERROR(__xludf.DUMMYFUNCTION("""COMPUTED_VALUE"""),"x")</f>
        <v>x</v>
      </c>
      <c r="I1301" s="19" t="str">
        <f>IFERROR(__xludf.DUMMYFUNCTION("""COMPUTED_VALUE"""),"x")</f>
        <v>x</v>
      </c>
      <c r="J1301" s="20" t="str">
        <f>IFERROR(__xludf.DUMMYFUNCTION("""COMPUTED_VALUE"""),"x")</f>
        <v>x</v>
      </c>
      <c r="K1301" s="19" t="str">
        <f>IFERROR(__xludf.DUMMYFUNCTION("""COMPUTED_VALUE"""),"x")</f>
        <v>x</v>
      </c>
      <c r="L1301" s="20" t="str">
        <f>IFERROR(__xludf.DUMMYFUNCTION("""COMPUTED_VALUE"""),"x")</f>
        <v>x</v>
      </c>
      <c r="M1301" s="19" t="str">
        <f>IFERROR(__xludf.DUMMYFUNCTION("""COMPUTED_VALUE"""),"PCM")</f>
        <v>PCM</v>
      </c>
      <c r="N1301" s="19" t="str">
        <f>IFERROR(__xludf.DUMMYFUNCTION("""COMPUTED_VALUE"""),"PRIORIDAD 1 Q3 2023 OCTUBRE")</f>
        <v>PRIORIDAD 1 Q3 2023 OCTUBRE</v>
      </c>
    </row>
    <row r="1302" ht="15.75" customHeight="1">
      <c r="A1302" s="19" t="str">
        <f>IFERROR(__xludf.DUMMYFUNCTION("""COMPUTED_VALUE"""),"AB_10592")</f>
        <v>AB_10592</v>
      </c>
      <c r="B1302" s="19" t="str">
        <f>IFERROR(__xludf.DUMMYFUNCTION("""COMPUTED_VALUE"""),"AB_10592_B")</f>
        <v>AB_10592_B</v>
      </c>
      <c r="C1302" s="19" t="str">
        <f>IFERROR(__xludf.DUMMYFUNCTION("""COMPUTED_VALUE"""),"TA10592")</f>
        <v>TA10592</v>
      </c>
      <c r="D1302" s="19" t="str">
        <f>IFERROR(__xludf.DUMMYFUNCTION("""COMPUTED_VALUE"""),"RPT Huara")</f>
        <v>RPT Huara</v>
      </c>
      <c r="E1302" s="19" t="str">
        <f>IFERROR(__xludf.DUMMYFUNCTION("""COMPUTED_VALUE"""),"SITIO RFI")</f>
        <v>SITIO RFI</v>
      </c>
      <c r="F1302" s="19"/>
      <c r="G1302" s="19" t="str">
        <f>IFERROR(__xludf.DUMMYFUNCTION("""COMPUTED_VALUE"""),"x")</f>
        <v>x</v>
      </c>
      <c r="H1302" s="19" t="str">
        <f>IFERROR(__xludf.DUMMYFUNCTION("""COMPUTED_VALUE"""),"x")</f>
        <v>x</v>
      </c>
      <c r="I1302" s="19" t="str">
        <f>IFERROR(__xludf.DUMMYFUNCTION("""COMPUTED_VALUE"""),"x")</f>
        <v>x</v>
      </c>
      <c r="J1302" s="20" t="str">
        <f>IFERROR(__xludf.DUMMYFUNCTION("""COMPUTED_VALUE"""),"x")</f>
        <v>x</v>
      </c>
      <c r="K1302" s="19" t="str">
        <f>IFERROR(__xludf.DUMMYFUNCTION("""COMPUTED_VALUE"""),"x")</f>
        <v>x</v>
      </c>
      <c r="L1302" s="20" t="str">
        <f>IFERROR(__xludf.DUMMYFUNCTION("""COMPUTED_VALUE"""),"x")</f>
        <v>x</v>
      </c>
      <c r="M1302" s="19" t="str">
        <f>IFERROR(__xludf.DUMMYFUNCTION("""COMPUTED_VALUE"""),"PCM_3")</f>
        <v>PCM_3</v>
      </c>
      <c r="N1302" s="19" t="str">
        <f>IFERROR(__xludf.DUMMYFUNCTION("""COMPUTED_VALUE"""),"PRIORIDAD 3 Q1 2024 MARZO")</f>
        <v>PRIORIDAD 3 Q1 2024 MARZO</v>
      </c>
    </row>
    <row r="1303" ht="15.75" customHeight="1">
      <c r="A1303" s="19" t="str">
        <f>IFERROR(__xludf.DUMMYFUNCTION("""COMPUTED_VALUE"""),"AB_3381")</f>
        <v>AB_3381</v>
      </c>
      <c r="B1303" s="19" t="str">
        <f>IFERROR(__xludf.DUMMYFUNCTION("""COMPUTED_VALUE"""),"AB_3381_D")</f>
        <v>AB_3381_D</v>
      </c>
      <c r="C1303" s="19" t="str">
        <f>IFERROR(__xludf.DUMMYFUNCTION("""COMPUTED_VALUE"""),"TA3381")</f>
        <v>TA3381</v>
      </c>
      <c r="D1303" s="19" t="str">
        <f>IFERROR(__xludf.DUMMYFUNCTION("""COMPUTED_VALUE"""),"Fuerte Baquedano")</f>
        <v>Fuerte Baquedano</v>
      </c>
      <c r="E1303" s="19" t="str">
        <f>IFERROR(__xludf.DUMMYFUNCTION("""COMPUTED_VALUE"""),"SITIO PENDIENTE")</f>
        <v>SITIO PENDIENTE</v>
      </c>
      <c r="F1303" s="19"/>
      <c r="G1303" s="19" t="str">
        <f>IFERROR(__xludf.DUMMYFUNCTION("""COMPUTED_VALUE"""),"x")</f>
        <v>x</v>
      </c>
      <c r="H1303" s="19" t="str">
        <f>IFERROR(__xludf.DUMMYFUNCTION("""COMPUTED_VALUE"""),"x")</f>
        <v>x</v>
      </c>
      <c r="I1303" s="19" t="str">
        <f>IFERROR(__xludf.DUMMYFUNCTION("""COMPUTED_VALUE"""),"x")</f>
        <v>x</v>
      </c>
      <c r="J1303" s="20" t="str">
        <f>IFERROR(__xludf.DUMMYFUNCTION("""COMPUTED_VALUE"""),"x")</f>
        <v>x</v>
      </c>
      <c r="K1303" s="19" t="str">
        <f>IFERROR(__xludf.DUMMYFUNCTION("""COMPUTED_VALUE"""),"x")</f>
        <v>x</v>
      </c>
      <c r="L1303" s="20" t="str">
        <f>IFERROR(__xludf.DUMMYFUNCTION("""COMPUTED_VALUE"""),"x")</f>
        <v>x</v>
      </c>
      <c r="M1303" s="19" t="str">
        <f>IFERROR(__xludf.DUMMYFUNCTION("""COMPUTED_VALUE"""),"PP")</f>
        <v>PP</v>
      </c>
      <c r="N1303" s="19" t="str">
        <f>IFERROR(__xludf.DUMMYFUNCTION("""COMPUTED_VALUE"""),"PRIORIDAD 3 Q1 2024 MARZO")</f>
        <v>PRIORIDAD 3 Q1 2024 MARZO</v>
      </c>
    </row>
    <row r="1304" ht="15.75" customHeight="1">
      <c r="A1304" s="19" t="str">
        <f>IFERROR(__xludf.DUMMYFUNCTION("""COMPUTED_VALUE"""),"AB_4645")</f>
        <v>AB_4645</v>
      </c>
      <c r="B1304" s="19" t="str">
        <f>IFERROR(__xludf.DUMMYFUNCTION("""COMPUTED_VALUE"""),"AB_4645_B")</f>
        <v>AB_4645_B</v>
      </c>
      <c r="C1304" s="19" t="str">
        <f>IFERROR(__xludf.DUMMYFUNCTION("""COMPUTED_VALUE"""),"TA4645")</f>
        <v>TA4645</v>
      </c>
      <c r="D1304" s="19" t="str">
        <f>IFERROR(__xludf.DUMMYFUNCTION("""COMPUTED_VALUE"""),"Loa Iquique")</f>
        <v>Loa Iquique</v>
      </c>
      <c r="E1304" s="19" t="str">
        <f>IFERROR(__xludf.DUMMYFUNCTION("""COMPUTED_VALUE"""),"SITIO RFI")</f>
        <v>SITIO RFI</v>
      </c>
      <c r="F1304" s="19"/>
      <c r="G1304" s="19" t="str">
        <f>IFERROR(__xludf.DUMMYFUNCTION("""COMPUTED_VALUE"""),"x")</f>
        <v>x</v>
      </c>
      <c r="H1304" s="19" t="str">
        <f>IFERROR(__xludf.DUMMYFUNCTION("""COMPUTED_VALUE"""),"x")</f>
        <v>x</v>
      </c>
      <c r="I1304" s="19" t="str">
        <f>IFERROR(__xludf.DUMMYFUNCTION("""COMPUTED_VALUE"""),"x")</f>
        <v>x</v>
      </c>
      <c r="J1304" s="20" t="str">
        <f>IFERROR(__xludf.DUMMYFUNCTION("""COMPUTED_VALUE"""),"x")</f>
        <v>x</v>
      </c>
      <c r="K1304" s="19" t="str">
        <f>IFERROR(__xludf.DUMMYFUNCTION("""COMPUTED_VALUE"""),"x")</f>
        <v>x</v>
      </c>
      <c r="L1304" s="20" t="str">
        <f>IFERROR(__xludf.DUMMYFUNCTION("""COMPUTED_VALUE"""),"x")</f>
        <v>x</v>
      </c>
      <c r="M1304" s="19" t="str">
        <f>IFERROR(__xludf.DUMMYFUNCTION("""COMPUTED_VALUE"""),"PP")</f>
        <v>PP</v>
      </c>
      <c r="N1304" s="19" t="str">
        <f>IFERROR(__xludf.DUMMYFUNCTION("""COMPUTED_VALUE"""),"PRIORIDAD 2 Q4 2023 DICIEMBRE")</f>
        <v>PRIORIDAD 2 Q4 2023 DICIEMBRE</v>
      </c>
    </row>
    <row r="1305" ht="15.75" customHeight="1">
      <c r="A1305" s="19" t="str">
        <f>IFERROR(__xludf.DUMMYFUNCTION("""COMPUTED_VALUE"""),"AB_5770")</f>
        <v>AB_5770</v>
      </c>
      <c r="B1305" s="19" t="str">
        <f>IFERROR(__xludf.DUMMYFUNCTION("""COMPUTED_VALUE"""),"AB_5770_G")</f>
        <v>AB_5770_G</v>
      </c>
      <c r="C1305" s="19" t="str">
        <f>IFERROR(__xludf.DUMMYFUNCTION("""COMPUTED_VALUE"""),"TA5770")</f>
        <v>TA5770</v>
      </c>
      <c r="D1305" s="19" t="str">
        <f>IFERROR(__xludf.DUMMYFUNCTION("""COMPUTED_VALUE"""),"Camiña")</f>
        <v>Camiña</v>
      </c>
      <c r="E1305" s="19" t="str">
        <f>IFERROR(__xludf.DUMMYFUNCTION("""COMPUTED_VALUE"""),"DETENIDO SAC")</f>
        <v>DETENIDO SAC</v>
      </c>
      <c r="F1305" s="19"/>
      <c r="G1305" s="19" t="str">
        <f>IFERROR(__xludf.DUMMYFUNCTION("""COMPUTED_VALUE"""),"x")</f>
        <v>x</v>
      </c>
      <c r="H1305" s="19" t="str">
        <f>IFERROR(__xludf.DUMMYFUNCTION("""COMPUTED_VALUE"""),"x")</f>
        <v>x</v>
      </c>
      <c r="I1305" s="19" t="str">
        <f>IFERROR(__xludf.DUMMYFUNCTION("""COMPUTED_VALUE"""),"x")</f>
        <v>x</v>
      </c>
      <c r="J1305" s="20" t="str">
        <f>IFERROR(__xludf.DUMMYFUNCTION("""COMPUTED_VALUE"""),"x")</f>
        <v>x</v>
      </c>
      <c r="K1305" s="19" t="str">
        <f>IFERROR(__xludf.DUMMYFUNCTION("""COMPUTED_VALUE"""),"x")</f>
        <v>x</v>
      </c>
      <c r="L1305" s="20" t="str">
        <f>IFERROR(__xludf.DUMMYFUNCTION("""COMPUTED_VALUE"""),"x")</f>
        <v>x</v>
      </c>
      <c r="M1305" s="19" t="str">
        <f>IFERROR(__xludf.DUMMYFUNCTION("""COMPUTED_VALUE"""),"PCM")</f>
        <v>PCM</v>
      </c>
      <c r="N1305" s="19" t="str">
        <f>IFERROR(__xludf.DUMMYFUNCTION("""COMPUTED_VALUE"""),"PRIORIDAD 1 Q3 2023 OCTUBRE")</f>
        <v>PRIORIDAD 1 Q3 2023 OCTUBRE</v>
      </c>
    </row>
    <row r="1306" ht="15.75" customHeight="1">
      <c r="A1306" s="19" t="str">
        <f>IFERROR(__xludf.DUMMYFUNCTION("""COMPUTED_VALUE"""),"AB_9993")</f>
        <v>AB_9993</v>
      </c>
      <c r="B1306" s="19" t="str">
        <f>IFERROR(__xludf.DUMMYFUNCTION("""COMPUTED_VALUE"""),"AB_9993_A")</f>
        <v>AB_9993_A</v>
      </c>
      <c r="C1306" s="19" t="str">
        <f>IFERROR(__xludf.DUMMYFUNCTION("""COMPUTED_VALUE"""),"TA9993")</f>
        <v>TA9993</v>
      </c>
      <c r="D1306" s="19" t="str">
        <f>IFERROR(__xludf.DUMMYFUNCTION("""COMPUTED_VALUE"""),"Punta Chomache")</f>
        <v>Punta Chomache</v>
      </c>
      <c r="E1306" s="19" t="str">
        <f>IFERROR(__xludf.DUMMYFUNCTION("""COMPUTED_VALUE"""),"SITIO RFI")</f>
        <v>SITIO RFI</v>
      </c>
      <c r="F1306" s="19"/>
      <c r="G1306" s="19" t="str">
        <f>IFERROR(__xludf.DUMMYFUNCTION("""COMPUTED_VALUE"""),"x")</f>
        <v>x</v>
      </c>
      <c r="H1306" s="19" t="str">
        <f>IFERROR(__xludf.DUMMYFUNCTION("""COMPUTED_VALUE"""),"x")</f>
        <v>x</v>
      </c>
      <c r="I1306" s="19" t="str">
        <f>IFERROR(__xludf.DUMMYFUNCTION("""COMPUTED_VALUE"""),"x")</f>
        <v>x</v>
      </c>
      <c r="J1306" s="20" t="str">
        <f>IFERROR(__xludf.DUMMYFUNCTION("""COMPUTED_VALUE"""),"x")</f>
        <v>x</v>
      </c>
      <c r="K1306" s="19" t="str">
        <f>IFERROR(__xludf.DUMMYFUNCTION("""COMPUTED_VALUE"""),"x")</f>
        <v>x</v>
      </c>
      <c r="L1306" s="20" t="str">
        <f>IFERROR(__xludf.DUMMYFUNCTION("""COMPUTED_VALUE"""),"x")</f>
        <v>x</v>
      </c>
      <c r="M1306" s="19" t="str">
        <f>IFERROR(__xludf.DUMMYFUNCTION("""COMPUTED_VALUE"""),"PP")</f>
        <v>PP</v>
      </c>
      <c r="N1306" s="19" t="str">
        <f>IFERROR(__xludf.DUMMYFUNCTION("""COMPUTED_VALUE"""),"PRIORIDAD 2 Q4 2023 DICIEMBRE")</f>
        <v>PRIORIDAD 2 Q4 2023 DICIEMBRE</v>
      </c>
    </row>
    <row r="1307" ht="15.75" customHeight="1">
      <c r="A1307" s="19" t="str">
        <f>IFERROR(__xludf.DUMMYFUNCTION("""COMPUTED_VALUE"""),"AB_0285")</f>
        <v>AB_0285</v>
      </c>
      <c r="B1307" s="19" t="str">
        <f>IFERROR(__xludf.DUMMYFUNCTION("""COMPUTED_VALUE"""),"AB_0285_G")</f>
        <v>AB_0285_G</v>
      </c>
      <c r="C1307" s="19" t="str">
        <f>IFERROR(__xludf.DUMMYFUNCTION("""COMPUTED_VALUE"""),"VA0285")</f>
        <v>VA0285</v>
      </c>
      <c r="D1307" s="19" t="str">
        <f>IFERROR(__xludf.DUMMYFUNCTION("""COMPUTED_VALUE"""),"Aerodromo Rodelillo")</f>
        <v>Aerodromo Rodelillo</v>
      </c>
      <c r="E1307" s="19" t="str">
        <f>IFERROR(__xludf.DUMMYFUNCTION("""COMPUTED_VALUE"""),"SITIO RFI")</f>
        <v>SITIO RFI</v>
      </c>
      <c r="F1307" s="19"/>
      <c r="G1307" s="19" t="str">
        <f>IFERROR(__xludf.DUMMYFUNCTION("""COMPUTED_VALUE"""),"x")</f>
        <v>x</v>
      </c>
      <c r="H1307" s="19" t="str">
        <f>IFERROR(__xludf.DUMMYFUNCTION("""COMPUTED_VALUE"""),"x")</f>
        <v>x</v>
      </c>
      <c r="I1307" s="19" t="str">
        <f>IFERROR(__xludf.DUMMYFUNCTION("""COMPUTED_VALUE"""),"x")</f>
        <v>x</v>
      </c>
      <c r="J1307" s="20" t="str">
        <f>IFERROR(__xludf.DUMMYFUNCTION("""COMPUTED_VALUE"""),"x")</f>
        <v>x</v>
      </c>
      <c r="K1307" s="19" t="str">
        <f>IFERROR(__xludf.DUMMYFUNCTION("""COMPUTED_VALUE"""),"x")</f>
        <v>x</v>
      </c>
      <c r="L1307" s="20" t="str">
        <f>IFERROR(__xludf.DUMMYFUNCTION("""COMPUTED_VALUE"""),"x")</f>
        <v>x</v>
      </c>
      <c r="M1307" s="19" t="str">
        <f>IFERROR(__xludf.DUMMYFUNCTION("""COMPUTED_VALUE"""),"PCM")</f>
        <v>PCM</v>
      </c>
      <c r="N1307" s="19" t="str">
        <f>IFERROR(__xludf.DUMMYFUNCTION("""COMPUTED_VALUE"""),"PRIORIDAD 1 Q3 2023 OCTUBRE")</f>
        <v>PRIORIDAD 1 Q3 2023 OCTUBRE</v>
      </c>
    </row>
    <row r="1308" ht="15.75" customHeight="1">
      <c r="A1308" s="19" t="str">
        <f>IFERROR(__xludf.DUMMYFUNCTION("""COMPUTED_VALUE"""),"AB_0291")</f>
        <v>AB_0291</v>
      </c>
      <c r="B1308" s="19" t="str">
        <f>IFERROR(__xludf.DUMMYFUNCTION("""COMPUTED_VALUE"""),"AB_0291_G")</f>
        <v>AB_0291_G</v>
      </c>
      <c r="C1308" s="19" t="str">
        <f>IFERROR(__xludf.DUMMYFUNCTION("""COMPUTED_VALUE"""),"VA0291")</f>
        <v>VA0291</v>
      </c>
      <c r="D1308" s="19" t="str">
        <f>IFERROR(__xludf.DUMMYFUNCTION("""COMPUTED_VALUE"""),"C° Colorado Valparaiso")</f>
        <v>C° Colorado Valparaiso</v>
      </c>
      <c r="E1308" s="19" t="str">
        <f>IFERROR(__xludf.DUMMYFUNCTION("""COMPUTED_VALUE"""),"SITIO RFC")</f>
        <v>SITIO RFC</v>
      </c>
      <c r="F1308" s="19"/>
      <c r="G1308" s="19" t="str">
        <f>IFERROR(__xludf.DUMMYFUNCTION("""COMPUTED_VALUE"""),"x")</f>
        <v>x</v>
      </c>
      <c r="H1308" s="19" t="str">
        <f>IFERROR(__xludf.DUMMYFUNCTION("""COMPUTED_VALUE"""),"x")</f>
        <v>x</v>
      </c>
      <c r="I1308" s="19" t="str">
        <f>IFERROR(__xludf.DUMMYFUNCTION("""COMPUTED_VALUE"""),"x")</f>
        <v>x</v>
      </c>
      <c r="J1308" s="20" t="str">
        <f>IFERROR(__xludf.DUMMYFUNCTION("""COMPUTED_VALUE"""),"x")</f>
        <v>x</v>
      </c>
      <c r="K1308" s="19" t="str">
        <f>IFERROR(__xludf.DUMMYFUNCTION("""COMPUTED_VALUE"""),"x")</f>
        <v>x</v>
      </c>
      <c r="L1308" s="20" t="str">
        <f>IFERROR(__xludf.DUMMYFUNCTION("""COMPUTED_VALUE"""),"x")</f>
        <v>x</v>
      </c>
      <c r="M1308" s="19" t="str">
        <f>IFERROR(__xludf.DUMMYFUNCTION("""COMPUTED_VALUE"""),"PP")</f>
        <v>PP</v>
      </c>
      <c r="N1308" s="19" t="str">
        <f>IFERROR(__xludf.DUMMYFUNCTION("""COMPUTED_VALUE"""),"PRIORIDAD 1 Q3 2023 OCTUBRE")</f>
        <v>PRIORIDAD 1 Q3 2023 OCTUBRE</v>
      </c>
    </row>
    <row r="1309" ht="15.75" customHeight="1">
      <c r="A1309" s="19" t="str">
        <f>IFERROR(__xludf.DUMMYFUNCTION("""COMPUTED_VALUE"""),"AB_10290")</f>
        <v>AB_10290</v>
      </c>
      <c r="B1309" s="19" t="str">
        <f>IFERROR(__xludf.DUMMYFUNCTION("""COMPUTED_VALUE"""),"AB_10290_A")</f>
        <v>AB_10290_A</v>
      </c>
      <c r="C1309" s="19" t="str">
        <f>IFERROR(__xludf.DUMMYFUNCTION("""COMPUTED_VALUE"""),"VA10290")</f>
        <v>VA10290</v>
      </c>
      <c r="D1309" s="19" t="str">
        <f>IFERROR(__xludf.DUMMYFUNCTION("""COMPUTED_VALUE"""),"Puente San Sebastian")</f>
        <v>Puente San Sebastian</v>
      </c>
      <c r="E1309" s="19" t="str">
        <f>IFERROR(__xludf.DUMMYFUNCTION("""COMPUTED_VALUE"""),"SITIO RFI")</f>
        <v>SITIO RFI</v>
      </c>
      <c r="F1309" s="19"/>
      <c r="G1309" s="19" t="str">
        <f>IFERROR(__xludf.DUMMYFUNCTION("""COMPUTED_VALUE"""),"x")</f>
        <v>x</v>
      </c>
      <c r="H1309" s="19" t="str">
        <f>IFERROR(__xludf.DUMMYFUNCTION("""COMPUTED_VALUE"""),"x")</f>
        <v>x</v>
      </c>
      <c r="I1309" s="19" t="str">
        <f>IFERROR(__xludf.DUMMYFUNCTION("""COMPUTED_VALUE"""),"x")</f>
        <v>x</v>
      </c>
      <c r="J1309" s="20" t="str">
        <f>IFERROR(__xludf.DUMMYFUNCTION("""COMPUTED_VALUE"""),"x")</f>
        <v>x</v>
      </c>
      <c r="K1309" s="19" t="str">
        <f>IFERROR(__xludf.DUMMYFUNCTION("""COMPUTED_VALUE"""),"x")</f>
        <v>x</v>
      </c>
      <c r="L1309" s="20" t="str">
        <f>IFERROR(__xludf.DUMMYFUNCTION("""COMPUTED_VALUE"""),"x")</f>
        <v>x</v>
      </c>
      <c r="M1309" s="19" t="str">
        <f>IFERROR(__xludf.DUMMYFUNCTION("""COMPUTED_VALUE"""),"PCM")</f>
        <v>PCM</v>
      </c>
      <c r="N1309" s="19" t="str">
        <f>IFERROR(__xludf.DUMMYFUNCTION("""COMPUTED_VALUE"""),"PRIORIDAD 1 Q3 2023 OCTUBRE")</f>
        <v>PRIORIDAD 1 Q3 2023 OCTUBRE</v>
      </c>
    </row>
    <row r="1310" ht="15.75" customHeight="1">
      <c r="A1310" s="19" t="str">
        <f>IFERROR(__xludf.DUMMYFUNCTION("""COMPUTED_VALUE"""),"AB_10295")</f>
        <v>AB_10295</v>
      </c>
      <c r="B1310" s="19" t="str">
        <f>IFERROR(__xludf.DUMMYFUNCTION("""COMPUTED_VALUE"""),"AB_10295_A")</f>
        <v>AB_10295_A</v>
      </c>
      <c r="C1310" s="19" t="str">
        <f>IFERROR(__xludf.DUMMYFUNCTION("""COMPUTED_VALUE"""),"VA10295")</f>
        <v>VA10295</v>
      </c>
      <c r="D1310" s="19" t="str">
        <f>IFERROR(__xludf.DUMMYFUNCTION("""COMPUTED_VALUE"""),"Rinconada de Guzman-Estero Las Minillas")</f>
        <v>Rinconada de Guzman-Estero Las Minillas</v>
      </c>
      <c r="E1310" s="19" t="str">
        <f>IFERROR(__xludf.DUMMYFUNCTION("""COMPUTED_VALUE"""),"SITIO RFI")</f>
        <v>SITIO RFI</v>
      </c>
      <c r="F1310" s="19"/>
      <c r="G1310" s="19" t="str">
        <f>IFERROR(__xludf.DUMMYFUNCTION("""COMPUTED_VALUE"""),"x")</f>
        <v>x</v>
      </c>
      <c r="H1310" s="19" t="str">
        <f>IFERROR(__xludf.DUMMYFUNCTION("""COMPUTED_VALUE"""),"x")</f>
        <v>x</v>
      </c>
      <c r="I1310" s="19" t="str">
        <f>IFERROR(__xludf.DUMMYFUNCTION("""COMPUTED_VALUE"""),"x")</f>
        <v>x</v>
      </c>
      <c r="J1310" s="20" t="str">
        <f>IFERROR(__xludf.DUMMYFUNCTION("""COMPUTED_VALUE"""),"x")</f>
        <v>x</v>
      </c>
      <c r="K1310" s="19" t="str">
        <f>IFERROR(__xludf.DUMMYFUNCTION("""COMPUTED_VALUE"""),"x")</f>
        <v>x</v>
      </c>
      <c r="L1310" s="20" t="str">
        <f>IFERROR(__xludf.DUMMYFUNCTION("""COMPUTED_VALUE"""),"x")</f>
        <v>x</v>
      </c>
      <c r="M1310" s="19" t="str">
        <f>IFERROR(__xludf.DUMMYFUNCTION("""COMPUTED_VALUE"""),"PCM")</f>
        <v>PCM</v>
      </c>
      <c r="N1310" s="19" t="str">
        <f>IFERROR(__xludf.DUMMYFUNCTION("""COMPUTED_VALUE"""),"PRIORIDAD 1 Q3 2023 OCTUBRE")</f>
        <v>PRIORIDAD 1 Q3 2023 OCTUBRE</v>
      </c>
    </row>
    <row r="1311" ht="15.75" customHeight="1">
      <c r="A1311" s="19" t="str">
        <f>IFERROR(__xludf.DUMMYFUNCTION("""COMPUTED_VALUE"""),"AB_1030")</f>
        <v>AB_1030</v>
      </c>
      <c r="B1311" s="19" t="str">
        <f>IFERROR(__xludf.DUMMYFUNCTION("""COMPUTED_VALUE"""),"AB_1030_D")</f>
        <v>AB_1030_D</v>
      </c>
      <c r="C1311" s="19" t="str">
        <f>IFERROR(__xludf.DUMMYFUNCTION("""COMPUTED_VALUE"""),"VA1030")</f>
        <v>VA1030</v>
      </c>
      <c r="D1311" s="19" t="str">
        <f>IFERROR(__xludf.DUMMYFUNCTION("""COMPUTED_VALUE"""),"Viña Panquehue")</f>
        <v>Viña Panquehue</v>
      </c>
      <c r="E1311" s="19" t="str">
        <f>IFERROR(__xludf.DUMMYFUNCTION("""COMPUTED_VALUE"""),"SITIO RFI")</f>
        <v>SITIO RFI</v>
      </c>
      <c r="F1311" s="19"/>
      <c r="G1311" s="19" t="str">
        <f>IFERROR(__xludf.DUMMYFUNCTION("""COMPUTED_VALUE"""),"x")</f>
        <v>x</v>
      </c>
      <c r="H1311" s="19" t="str">
        <f>IFERROR(__xludf.DUMMYFUNCTION("""COMPUTED_VALUE"""),"x")</f>
        <v>x</v>
      </c>
      <c r="I1311" s="19" t="str">
        <f>IFERROR(__xludf.DUMMYFUNCTION("""COMPUTED_VALUE"""),"x")</f>
        <v>x</v>
      </c>
      <c r="J1311" s="20" t="str">
        <f>IFERROR(__xludf.DUMMYFUNCTION("""COMPUTED_VALUE"""),"x")</f>
        <v>x</v>
      </c>
      <c r="K1311" s="19" t="str">
        <f>IFERROR(__xludf.DUMMYFUNCTION("""COMPUTED_VALUE"""),"x")</f>
        <v>x</v>
      </c>
      <c r="L1311" s="20" t="str">
        <f>IFERROR(__xludf.DUMMYFUNCTION("""COMPUTED_VALUE"""),"x")</f>
        <v>x</v>
      </c>
      <c r="M1311" s="19" t="str">
        <f>IFERROR(__xludf.DUMMYFUNCTION("""COMPUTED_VALUE"""),"PCM")</f>
        <v>PCM</v>
      </c>
      <c r="N1311" s="19" t="str">
        <f>IFERROR(__xludf.DUMMYFUNCTION("""COMPUTED_VALUE"""),"PRIORIDAD 1 Q3 2023 OCTUBRE")</f>
        <v>PRIORIDAD 1 Q3 2023 OCTUBRE</v>
      </c>
    </row>
    <row r="1312" ht="15.75" customHeight="1">
      <c r="A1312" s="19" t="str">
        <f>IFERROR(__xludf.DUMMYFUNCTION("""COMPUTED_VALUE"""),"AB_10330")</f>
        <v>AB_10330</v>
      </c>
      <c r="B1312" s="19" t="str">
        <f>IFERROR(__xludf.DUMMYFUNCTION("""COMPUTED_VALUE"""),"AB_10330_A")</f>
        <v>AB_10330_A</v>
      </c>
      <c r="C1312" s="19" t="str">
        <f>IFERROR(__xludf.DUMMYFUNCTION("""COMPUTED_VALUE"""),"VA10330")</f>
        <v>VA10330</v>
      </c>
      <c r="D1312" s="19" t="str">
        <f>IFERROR(__xludf.DUMMYFUNCTION("""COMPUTED_VALUE"""),"Calle Larga Cerro La Gloria")</f>
        <v>Calle Larga Cerro La Gloria</v>
      </c>
      <c r="E1312" s="19" t="str">
        <f>IFERROR(__xludf.DUMMYFUNCTION("""COMPUTED_VALUE"""),"SITIO RFI")</f>
        <v>SITIO RFI</v>
      </c>
      <c r="F1312" s="19"/>
      <c r="G1312" s="19" t="str">
        <f>IFERROR(__xludf.DUMMYFUNCTION("""COMPUTED_VALUE"""),"x")</f>
        <v>x</v>
      </c>
      <c r="H1312" s="19" t="str">
        <f>IFERROR(__xludf.DUMMYFUNCTION("""COMPUTED_VALUE"""),"x")</f>
        <v>x</v>
      </c>
      <c r="I1312" s="19" t="str">
        <f>IFERROR(__xludf.DUMMYFUNCTION("""COMPUTED_VALUE"""),"x")</f>
        <v>x</v>
      </c>
      <c r="J1312" s="20" t="str">
        <f>IFERROR(__xludf.DUMMYFUNCTION("""COMPUTED_VALUE"""),"x")</f>
        <v>x</v>
      </c>
      <c r="K1312" s="19" t="str">
        <f>IFERROR(__xludf.DUMMYFUNCTION("""COMPUTED_VALUE"""),"x")</f>
        <v>x</v>
      </c>
      <c r="L1312" s="20" t="str">
        <f>IFERROR(__xludf.DUMMYFUNCTION("""COMPUTED_VALUE"""),"x")</f>
        <v>x</v>
      </c>
      <c r="M1312" s="19" t="str">
        <f>IFERROR(__xludf.DUMMYFUNCTION("""COMPUTED_VALUE"""),"PCM")</f>
        <v>PCM</v>
      </c>
      <c r="N1312" s="19" t="str">
        <f>IFERROR(__xludf.DUMMYFUNCTION("""COMPUTED_VALUE"""),"PRIORIDAD 1 Q3 2023 OCTUBRE")</f>
        <v>PRIORIDAD 1 Q3 2023 OCTUBRE</v>
      </c>
    </row>
    <row r="1313" ht="15.75" customHeight="1">
      <c r="A1313" s="19" t="str">
        <f>IFERROR(__xludf.DUMMYFUNCTION("""COMPUTED_VALUE"""),"AB_10333")</f>
        <v>AB_10333</v>
      </c>
      <c r="B1313" s="19" t="str">
        <f>IFERROR(__xludf.DUMMYFUNCTION("""COMPUTED_VALUE"""),"AB_10333_C")</f>
        <v>AB_10333_C</v>
      </c>
      <c r="C1313" s="19" t="str">
        <f>IFERROR(__xludf.DUMMYFUNCTION("""COMPUTED_VALUE"""),"VA10333")</f>
        <v>VA10333</v>
      </c>
      <c r="D1313" s="19" t="str">
        <f>IFERROR(__xludf.DUMMYFUNCTION("""COMPUTED_VALUE"""),"San Rafael Calle Larga")</f>
        <v>San Rafael Calle Larga</v>
      </c>
      <c r="E1313" s="19" t="str">
        <f>IFERROR(__xludf.DUMMYFUNCTION("""COMPUTED_VALUE"""),"SITIO RFI")</f>
        <v>SITIO RFI</v>
      </c>
      <c r="F1313" s="19"/>
      <c r="G1313" s="19" t="str">
        <f>IFERROR(__xludf.DUMMYFUNCTION("""COMPUTED_VALUE"""),"x")</f>
        <v>x</v>
      </c>
      <c r="H1313" s="19" t="str">
        <f>IFERROR(__xludf.DUMMYFUNCTION("""COMPUTED_VALUE"""),"x")</f>
        <v>x</v>
      </c>
      <c r="I1313" s="19" t="str">
        <f>IFERROR(__xludf.DUMMYFUNCTION("""COMPUTED_VALUE"""),"x")</f>
        <v>x</v>
      </c>
      <c r="J1313" s="20" t="str">
        <f>IFERROR(__xludf.DUMMYFUNCTION("""COMPUTED_VALUE"""),"x")</f>
        <v>x</v>
      </c>
      <c r="K1313" s="19" t="str">
        <f>IFERROR(__xludf.DUMMYFUNCTION("""COMPUTED_VALUE"""),"x")</f>
        <v>x</v>
      </c>
      <c r="L1313" s="20" t="str">
        <f>IFERROR(__xludf.DUMMYFUNCTION("""COMPUTED_VALUE"""),"x")</f>
        <v>x</v>
      </c>
      <c r="M1313" s="19" t="str">
        <f>IFERROR(__xludf.DUMMYFUNCTION("""COMPUTED_VALUE"""),"PCM")</f>
        <v>PCM</v>
      </c>
      <c r="N1313" s="19" t="str">
        <f>IFERROR(__xludf.DUMMYFUNCTION("""COMPUTED_VALUE"""),"PRIORIDAD 1 Q3 2023 OCTUBRE")</f>
        <v>PRIORIDAD 1 Q3 2023 OCTUBRE</v>
      </c>
    </row>
    <row r="1314" ht="15.75" customHeight="1">
      <c r="A1314" s="19" t="str">
        <f>IFERROR(__xludf.DUMMYFUNCTION("""COMPUTED_VALUE"""),"AB_10335")</f>
        <v>AB_10335</v>
      </c>
      <c r="B1314" s="19" t="str">
        <f>IFERROR(__xludf.DUMMYFUNCTION("""COMPUTED_VALUE"""),"AB_10335_B")</f>
        <v>AB_10335_B</v>
      </c>
      <c r="C1314" s="19" t="str">
        <f>IFERROR(__xludf.DUMMYFUNCTION("""COMPUTED_VALUE"""),"VA10335")</f>
        <v>VA10335</v>
      </c>
      <c r="D1314" s="19" t="str">
        <f>IFERROR(__xludf.DUMMYFUNCTION("""COMPUTED_VALUE"""),"Cabildo San Lorenzo")</f>
        <v>Cabildo San Lorenzo</v>
      </c>
      <c r="E1314" s="19" t="str">
        <f>IFERROR(__xludf.DUMMYFUNCTION("""COMPUTED_VALUE"""),"SITIO RFI")</f>
        <v>SITIO RFI</v>
      </c>
      <c r="F1314" s="19"/>
      <c r="G1314" s="19" t="str">
        <f>IFERROR(__xludf.DUMMYFUNCTION("""COMPUTED_VALUE"""),"x")</f>
        <v>x</v>
      </c>
      <c r="H1314" s="19" t="str">
        <f>IFERROR(__xludf.DUMMYFUNCTION("""COMPUTED_VALUE"""),"x")</f>
        <v>x</v>
      </c>
      <c r="I1314" s="19" t="str">
        <f>IFERROR(__xludf.DUMMYFUNCTION("""COMPUTED_VALUE"""),"x")</f>
        <v>x</v>
      </c>
      <c r="J1314" s="20" t="str">
        <f>IFERROR(__xludf.DUMMYFUNCTION("""COMPUTED_VALUE"""),"x")</f>
        <v>x</v>
      </c>
      <c r="K1314" s="19" t="str">
        <f>IFERROR(__xludf.DUMMYFUNCTION("""COMPUTED_VALUE"""),"x")</f>
        <v>x</v>
      </c>
      <c r="L1314" s="20" t="str">
        <f>IFERROR(__xludf.DUMMYFUNCTION("""COMPUTED_VALUE"""),"x")</f>
        <v>x</v>
      </c>
      <c r="M1314" s="19" t="str">
        <f>IFERROR(__xludf.DUMMYFUNCTION("""COMPUTED_VALUE"""),"PCM")</f>
        <v>PCM</v>
      </c>
      <c r="N1314" s="19" t="str">
        <f>IFERROR(__xludf.DUMMYFUNCTION("""COMPUTED_VALUE"""),"PRIORIDAD 1 Q3 2023 OCTUBRE")</f>
        <v>PRIORIDAD 1 Q3 2023 OCTUBRE</v>
      </c>
    </row>
    <row r="1315" ht="15.75" customHeight="1">
      <c r="A1315" s="19" t="str">
        <f>IFERROR(__xludf.DUMMYFUNCTION("""COMPUTED_VALUE"""),"AB_10336")</f>
        <v>AB_10336</v>
      </c>
      <c r="B1315" s="19" t="str">
        <f>IFERROR(__xludf.DUMMYFUNCTION("""COMPUTED_VALUE"""),"AB_10336_A")</f>
        <v>AB_10336_A</v>
      </c>
      <c r="C1315" s="19" t="str">
        <f>IFERROR(__xludf.DUMMYFUNCTION("""COMPUTED_VALUE"""),"VA10336")</f>
        <v>VA10336</v>
      </c>
      <c r="D1315" s="19" t="str">
        <f>IFERROR(__xludf.DUMMYFUNCTION("""COMPUTED_VALUE"""),"Cabildo Alicahue")</f>
        <v>Cabildo Alicahue</v>
      </c>
      <c r="E1315" s="19" t="str">
        <f>IFERROR(__xludf.DUMMYFUNCTION("""COMPUTED_VALUE"""),"SITIO RFI")</f>
        <v>SITIO RFI</v>
      </c>
      <c r="F1315" s="19"/>
      <c r="G1315" s="19" t="str">
        <f>IFERROR(__xludf.DUMMYFUNCTION("""COMPUTED_VALUE"""),"x")</f>
        <v>x</v>
      </c>
      <c r="H1315" s="19" t="str">
        <f>IFERROR(__xludf.DUMMYFUNCTION("""COMPUTED_VALUE"""),"x")</f>
        <v>x</v>
      </c>
      <c r="I1315" s="19" t="str">
        <f>IFERROR(__xludf.DUMMYFUNCTION("""COMPUTED_VALUE"""),"x")</f>
        <v>x</v>
      </c>
      <c r="J1315" s="20" t="str">
        <f>IFERROR(__xludf.DUMMYFUNCTION("""COMPUTED_VALUE"""),"x")</f>
        <v>x</v>
      </c>
      <c r="K1315" s="19" t="str">
        <f>IFERROR(__xludf.DUMMYFUNCTION("""COMPUTED_VALUE"""),"x")</f>
        <v>x</v>
      </c>
      <c r="L1315" s="20" t="str">
        <f>IFERROR(__xludf.DUMMYFUNCTION("""COMPUTED_VALUE"""),"x")</f>
        <v>x</v>
      </c>
      <c r="M1315" s="19" t="str">
        <f>IFERROR(__xludf.DUMMYFUNCTION("""COMPUTED_VALUE"""),"PCM")</f>
        <v>PCM</v>
      </c>
      <c r="N1315" s="19" t="str">
        <f>IFERROR(__xludf.DUMMYFUNCTION("""COMPUTED_VALUE"""),"PRIORIDAD 1 Q3 2023 OCTUBRE")</f>
        <v>PRIORIDAD 1 Q3 2023 OCTUBRE</v>
      </c>
    </row>
    <row r="1316" ht="15.75" customHeight="1">
      <c r="A1316" s="19" t="str">
        <f>IFERROR(__xludf.DUMMYFUNCTION("""COMPUTED_VALUE"""),"AB_10338")</f>
        <v>AB_10338</v>
      </c>
      <c r="B1316" s="19" t="str">
        <f>IFERROR(__xludf.DUMMYFUNCTION("""COMPUTED_VALUE"""),"AB_10338_A")</f>
        <v>AB_10338_A</v>
      </c>
      <c r="C1316" s="19" t="str">
        <f>IFERROR(__xludf.DUMMYFUNCTION("""COMPUTED_VALUE"""),"VA10338")</f>
        <v>VA10338</v>
      </c>
      <c r="D1316" s="19" t="str">
        <f>IFERROR(__xludf.DUMMYFUNCTION("""COMPUTED_VALUE"""),"Petorca El Sobrante")</f>
        <v>Petorca El Sobrante</v>
      </c>
      <c r="E1316" s="19" t="str">
        <f>IFERROR(__xludf.DUMMYFUNCTION("""COMPUTED_VALUE"""),"SITIO RFI")</f>
        <v>SITIO RFI</v>
      </c>
      <c r="F1316" s="19"/>
      <c r="G1316" s="19" t="str">
        <f>IFERROR(__xludf.DUMMYFUNCTION("""COMPUTED_VALUE"""),"x")</f>
        <v>x</v>
      </c>
      <c r="H1316" s="19" t="str">
        <f>IFERROR(__xludf.DUMMYFUNCTION("""COMPUTED_VALUE"""),"x")</f>
        <v>x</v>
      </c>
      <c r="I1316" s="19" t="str">
        <f>IFERROR(__xludf.DUMMYFUNCTION("""COMPUTED_VALUE"""),"x")</f>
        <v>x</v>
      </c>
      <c r="J1316" s="20" t="str">
        <f>IFERROR(__xludf.DUMMYFUNCTION("""COMPUTED_VALUE"""),"x")</f>
        <v>x</v>
      </c>
      <c r="K1316" s="19" t="str">
        <f>IFERROR(__xludf.DUMMYFUNCTION("""COMPUTED_VALUE"""),"x")</f>
        <v>x</v>
      </c>
      <c r="L1316" s="20" t="str">
        <f>IFERROR(__xludf.DUMMYFUNCTION("""COMPUTED_VALUE"""),"x")</f>
        <v>x</v>
      </c>
      <c r="M1316" s="19" t="str">
        <f>IFERROR(__xludf.DUMMYFUNCTION("""COMPUTED_VALUE"""),"PCM")</f>
        <v>PCM</v>
      </c>
      <c r="N1316" s="19" t="str">
        <f>IFERROR(__xludf.DUMMYFUNCTION("""COMPUTED_VALUE"""),"PRIORIDAD 1 Q3 2023 OCTUBRE")</f>
        <v>PRIORIDAD 1 Q3 2023 OCTUBRE</v>
      </c>
    </row>
    <row r="1317" ht="15.75" customHeight="1">
      <c r="A1317" s="19" t="str">
        <f>IFERROR(__xludf.DUMMYFUNCTION("""COMPUTED_VALUE"""),"AB_10344")</f>
        <v>AB_10344</v>
      </c>
      <c r="B1317" s="19" t="str">
        <f>IFERROR(__xludf.DUMMYFUNCTION("""COMPUTED_VALUE"""),"AB_10344_B")</f>
        <v>AB_10344_B</v>
      </c>
      <c r="C1317" s="19" t="str">
        <f>IFERROR(__xludf.DUMMYFUNCTION("""COMPUTED_VALUE"""),"VA10344")</f>
        <v>VA10344</v>
      </c>
      <c r="D1317" s="19" t="str">
        <f>IFERROR(__xludf.DUMMYFUNCTION("""COMPUTED_VALUE"""),"La Cruz Ocoa Cerro")</f>
        <v>La Cruz Ocoa Cerro</v>
      </c>
      <c r="E1317" s="19" t="str">
        <f>IFERROR(__xludf.DUMMYFUNCTION("""COMPUTED_VALUE"""),"SITIO RFI")</f>
        <v>SITIO RFI</v>
      </c>
      <c r="F1317" s="19"/>
      <c r="G1317" s="19" t="str">
        <f>IFERROR(__xludf.DUMMYFUNCTION("""COMPUTED_VALUE"""),"x")</f>
        <v>x</v>
      </c>
      <c r="H1317" s="19" t="str">
        <f>IFERROR(__xludf.DUMMYFUNCTION("""COMPUTED_VALUE"""),"x")</f>
        <v>x</v>
      </c>
      <c r="I1317" s="19" t="str">
        <f>IFERROR(__xludf.DUMMYFUNCTION("""COMPUTED_VALUE"""),"x")</f>
        <v>x</v>
      </c>
      <c r="J1317" s="20" t="str">
        <f>IFERROR(__xludf.DUMMYFUNCTION("""COMPUTED_VALUE"""),"x")</f>
        <v>x</v>
      </c>
      <c r="K1317" s="19" t="str">
        <f>IFERROR(__xludf.DUMMYFUNCTION("""COMPUTED_VALUE"""),"x")</f>
        <v>x</v>
      </c>
      <c r="L1317" s="20" t="str">
        <f>IFERROR(__xludf.DUMMYFUNCTION("""COMPUTED_VALUE"""),"x")</f>
        <v>x</v>
      </c>
      <c r="M1317" s="19" t="str">
        <f>IFERROR(__xludf.DUMMYFUNCTION("""COMPUTED_VALUE"""),"PCM")</f>
        <v>PCM</v>
      </c>
      <c r="N1317" s="19" t="str">
        <f>IFERROR(__xludf.DUMMYFUNCTION("""COMPUTED_VALUE"""),"PRIORIDAD 1 Q3 2023 OCTUBRE")</f>
        <v>PRIORIDAD 1 Q3 2023 OCTUBRE</v>
      </c>
    </row>
    <row r="1318" ht="15.75" customHeight="1">
      <c r="A1318" s="19" t="str">
        <f>IFERROR(__xludf.DUMMYFUNCTION("""COMPUTED_VALUE"""),"AB_10509")</f>
        <v>AB_10509</v>
      </c>
      <c r="B1318" s="19" t="str">
        <f>IFERROR(__xludf.DUMMYFUNCTION("""COMPUTED_VALUE"""),"AB_10509_G")</f>
        <v>AB_10509_G</v>
      </c>
      <c r="C1318" s="19" t="str">
        <f>IFERROR(__xludf.DUMMYFUNCTION("""COMPUTED_VALUE"""),"VA10509")</f>
        <v>VA10509</v>
      </c>
      <c r="D1318" s="19" t="str">
        <f>IFERROR(__xludf.DUMMYFUNCTION("""COMPUTED_VALUE"""),"Nueva Mirasol")</f>
        <v>Nueva Mirasol</v>
      </c>
      <c r="E1318" s="19" t="str">
        <f>IFERROR(__xludf.DUMMYFUNCTION("""COMPUTED_VALUE"""),"SITIO RFI")</f>
        <v>SITIO RFI</v>
      </c>
      <c r="F1318" s="19"/>
      <c r="G1318" s="19" t="str">
        <f>IFERROR(__xludf.DUMMYFUNCTION("""COMPUTED_VALUE"""),"x")</f>
        <v>x</v>
      </c>
      <c r="H1318" s="19" t="str">
        <f>IFERROR(__xludf.DUMMYFUNCTION("""COMPUTED_VALUE"""),"x")</f>
        <v>x</v>
      </c>
      <c r="I1318" s="19" t="str">
        <f>IFERROR(__xludf.DUMMYFUNCTION("""COMPUTED_VALUE"""),"x")</f>
        <v>x</v>
      </c>
      <c r="J1318" s="20" t="str">
        <f>IFERROR(__xludf.DUMMYFUNCTION("""COMPUTED_VALUE"""),"x")</f>
        <v>x</v>
      </c>
      <c r="K1318" s="19" t="str">
        <f>IFERROR(__xludf.DUMMYFUNCTION("""COMPUTED_VALUE"""),"x")</f>
        <v>x</v>
      </c>
      <c r="L1318" s="20" t="str">
        <f>IFERROR(__xludf.DUMMYFUNCTION("""COMPUTED_VALUE"""),"x")</f>
        <v>x</v>
      </c>
      <c r="M1318" s="19" t="str">
        <f>IFERROR(__xludf.DUMMYFUNCTION("""COMPUTED_VALUE"""),"PCM")</f>
        <v>PCM</v>
      </c>
      <c r="N1318" s="19" t="str">
        <f>IFERROR(__xludf.DUMMYFUNCTION("""COMPUTED_VALUE"""),"PRIORIDAD 1 Q3 2023 OCTUBRE")</f>
        <v>PRIORIDAD 1 Q3 2023 OCTUBRE</v>
      </c>
    </row>
    <row r="1319" ht="15.75" customHeight="1">
      <c r="A1319" s="19" t="str">
        <f>IFERROR(__xludf.DUMMYFUNCTION("""COMPUTED_VALUE"""),"AB_10623")</f>
        <v>AB_10623</v>
      </c>
      <c r="B1319" s="19" t="str">
        <f>IFERROR(__xludf.DUMMYFUNCTION("""COMPUTED_VALUE"""),"AB_10623_C")</f>
        <v>AB_10623_C</v>
      </c>
      <c r="C1319" s="19" t="str">
        <f>IFERROR(__xludf.DUMMYFUNCTION("""COMPUTED_VALUE"""),"VA10623")</f>
        <v>VA10623</v>
      </c>
      <c r="D1319" s="19" t="str">
        <f>IFERROR(__xludf.DUMMYFUNCTION("""COMPUTED_VALUE"""),"San Francisco Lodge")</f>
        <v>San Francisco Lodge</v>
      </c>
      <c r="E1319" s="19" t="str">
        <f>IFERROR(__xludf.DUMMYFUNCTION("""COMPUTED_VALUE"""),"SITIO RFI")</f>
        <v>SITIO RFI</v>
      </c>
      <c r="F1319" s="19"/>
      <c r="G1319" s="19" t="str">
        <f>IFERROR(__xludf.DUMMYFUNCTION("""COMPUTED_VALUE"""),"x")</f>
        <v>x</v>
      </c>
      <c r="H1319" s="19" t="str">
        <f>IFERROR(__xludf.DUMMYFUNCTION("""COMPUTED_VALUE"""),"x")</f>
        <v>x</v>
      </c>
      <c r="I1319" s="19" t="str">
        <f>IFERROR(__xludf.DUMMYFUNCTION("""COMPUTED_VALUE"""),"x")</f>
        <v>x</v>
      </c>
      <c r="J1319" s="20" t="str">
        <f>IFERROR(__xludf.DUMMYFUNCTION("""COMPUTED_VALUE"""),"x")</f>
        <v>x</v>
      </c>
      <c r="K1319" s="19" t="str">
        <f>IFERROR(__xludf.DUMMYFUNCTION("""COMPUTED_VALUE"""),"x")</f>
        <v>x</v>
      </c>
      <c r="L1319" s="20" t="str">
        <f>IFERROR(__xludf.DUMMYFUNCTION("""COMPUTED_VALUE"""),"x")</f>
        <v>x</v>
      </c>
      <c r="M1319" s="19" t="str">
        <f>IFERROR(__xludf.DUMMYFUNCTION("""COMPUTED_VALUE"""),"PCM")</f>
        <v>PCM</v>
      </c>
      <c r="N1319" s="19" t="str">
        <f>IFERROR(__xludf.DUMMYFUNCTION("""COMPUTED_VALUE"""),"PRIORIDAD 1 Q3 2023 OCTUBRE")</f>
        <v>PRIORIDAD 1 Q3 2023 OCTUBRE</v>
      </c>
    </row>
    <row r="1320" ht="15.75" customHeight="1">
      <c r="A1320" s="19" t="str">
        <f>IFERROR(__xludf.DUMMYFUNCTION("""COMPUTED_VALUE"""),"AB_1142")</f>
        <v>AB_1142</v>
      </c>
      <c r="B1320" s="19" t="str">
        <f>IFERROR(__xludf.DUMMYFUNCTION("""COMPUTED_VALUE"""),"AB_1142_E")</f>
        <v>AB_1142_E</v>
      </c>
      <c r="C1320" s="19" t="str">
        <f>IFERROR(__xludf.DUMMYFUNCTION("""COMPUTED_VALUE"""),"VA1142")</f>
        <v>VA1142</v>
      </c>
      <c r="D1320" s="19" t="str">
        <f>IFERROR(__xludf.DUMMYFUNCTION("""COMPUTED_VALUE"""),"Mantagua")</f>
        <v>Mantagua</v>
      </c>
      <c r="E1320" s="19" t="str">
        <f>IFERROR(__xludf.DUMMYFUNCTION("""COMPUTED_VALUE"""),"SITIO RFI")</f>
        <v>SITIO RFI</v>
      </c>
      <c r="F1320" s="19"/>
      <c r="G1320" s="19" t="str">
        <f>IFERROR(__xludf.DUMMYFUNCTION("""COMPUTED_VALUE"""),"x")</f>
        <v>x</v>
      </c>
      <c r="H1320" s="19" t="str">
        <f>IFERROR(__xludf.DUMMYFUNCTION("""COMPUTED_VALUE"""),"x")</f>
        <v>x</v>
      </c>
      <c r="I1320" s="19" t="str">
        <f>IFERROR(__xludf.DUMMYFUNCTION("""COMPUTED_VALUE"""),"x")</f>
        <v>x</v>
      </c>
      <c r="J1320" s="20" t="str">
        <f>IFERROR(__xludf.DUMMYFUNCTION("""COMPUTED_VALUE"""),"x")</f>
        <v>x</v>
      </c>
      <c r="K1320" s="19" t="str">
        <f>IFERROR(__xludf.DUMMYFUNCTION("""COMPUTED_VALUE"""),"x")</f>
        <v>x</v>
      </c>
      <c r="L1320" s="20" t="str">
        <f>IFERROR(__xludf.DUMMYFUNCTION("""COMPUTED_VALUE"""),"x")</f>
        <v>x</v>
      </c>
      <c r="M1320" s="19" t="str">
        <f>IFERROR(__xludf.DUMMYFUNCTION("""COMPUTED_VALUE"""),"PCM")</f>
        <v>PCM</v>
      </c>
      <c r="N1320" s="19" t="str">
        <f>IFERROR(__xludf.DUMMYFUNCTION("""COMPUTED_VALUE"""),"PRIORIDAD 1 Q3 2023 OCTUBRE")</f>
        <v>PRIORIDAD 1 Q3 2023 OCTUBRE</v>
      </c>
    </row>
    <row r="1321" ht="15.75" customHeight="1">
      <c r="A1321" s="19" t="str">
        <f>IFERROR(__xludf.DUMMYFUNCTION("""COMPUTED_VALUE"""),"AB_1168")</f>
        <v>AB_1168</v>
      </c>
      <c r="B1321" s="19" t="str">
        <f>IFERROR(__xludf.DUMMYFUNCTION("""COMPUTED_VALUE"""),"AB_1168_E")</f>
        <v>AB_1168_E</v>
      </c>
      <c r="C1321" s="19" t="str">
        <f>IFERROR(__xludf.DUMMYFUNCTION("""COMPUTED_VALUE"""),"VA1168")</f>
        <v>VA1168</v>
      </c>
      <c r="D1321" s="19" t="str">
        <f>IFERROR(__xludf.DUMMYFUNCTION("""COMPUTED_VALUE"""),"Mina El Soldado")</f>
        <v>Mina El Soldado</v>
      </c>
      <c r="E1321" s="19" t="str">
        <f>IFERROR(__xludf.DUMMYFUNCTION("""COMPUTED_VALUE"""),"SITIO RFI")</f>
        <v>SITIO RFI</v>
      </c>
      <c r="F1321" s="19"/>
      <c r="G1321" s="19" t="str">
        <f>IFERROR(__xludf.DUMMYFUNCTION("""COMPUTED_VALUE"""),"x")</f>
        <v>x</v>
      </c>
      <c r="H1321" s="19" t="str">
        <f>IFERROR(__xludf.DUMMYFUNCTION("""COMPUTED_VALUE"""),"x")</f>
        <v>x</v>
      </c>
      <c r="I1321" s="19" t="str">
        <f>IFERROR(__xludf.DUMMYFUNCTION("""COMPUTED_VALUE"""),"x")</f>
        <v>x</v>
      </c>
      <c r="J1321" s="20" t="str">
        <f>IFERROR(__xludf.DUMMYFUNCTION("""COMPUTED_VALUE"""),"x")</f>
        <v>x</v>
      </c>
      <c r="K1321" s="19" t="str">
        <f>IFERROR(__xludf.DUMMYFUNCTION("""COMPUTED_VALUE"""),"x")</f>
        <v>x</v>
      </c>
      <c r="L1321" s="20" t="str">
        <f>IFERROR(__xludf.DUMMYFUNCTION("""COMPUTED_VALUE"""),"x")</f>
        <v>x</v>
      </c>
      <c r="M1321" s="19" t="str">
        <f>IFERROR(__xludf.DUMMYFUNCTION("""COMPUTED_VALUE"""),"PCM")</f>
        <v>PCM</v>
      </c>
      <c r="N1321" s="19" t="str">
        <f>IFERROR(__xludf.DUMMYFUNCTION("""COMPUTED_VALUE"""),"PRIORIDAD 1 Q3 2023 OCTUBRE")</f>
        <v>PRIORIDAD 1 Q3 2023 OCTUBRE</v>
      </c>
    </row>
    <row r="1322" ht="15.75" customHeight="1">
      <c r="A1322" s="19" t="str">
        <f>IFERROR(__xludf.DUMMYFUNCTION("""COMPUTED_VALUE"""),"AB_1514")</f>
        <v>AB_1514</v>
      </c>
      <c r="B1322" s="19" t="str">
        <f>IFERROR(__xludf.DUMMYFUNCTION("""COMPUTED_VALUE"""),"AB_1514_E")</f>
        <v>AB_1514_E</v>
      </c>
      <c r="C1322" s="19" t="str">
        <f>IFERROR(__xludf.DUMMYFUNCTION("""COMPUTED_VALUE"""),"VA1514")</f>
        <v>VA1514</v>
      </c>
      <c r="D1322" s="19" t="str">
        <f>IFERROR(__xludf.DUMMYFUNCTION("""COMPUTED_VALUE"""),"Tunquen")</f>
        <v>Tunquen</v>
      </c>
      <c r="E1322" s="19" t="str">
        <f>IFERROR(__xludf.DUMMYFUNCTION("""COMPUTED_VALUE"""),"SITIO RFI")</f>
        <v>SITIO RFI</v>
      </c>
      <c r="F1322" s="19"/>
      <c r="G1322" s="19" t="str">
        <f>IFERROR(__xludf.DUMMYFUNCTION("""COMPUTED_VALUE"""),"x")</f>
        <v>x</v>
      </c>
      <c r="H1322" s="19" t="str">
        <f>IFERROR(__xludf.DUMMYFUNCTION("""COMPUTED_VALUE"""),"x")</f>
        <v>x</v>
      </c>
      <c r="I1322" s="19" t="str">
        <f>IFERROR(__xludf.DUMMYFUNCTION("""COMPUTED_VALUE"""),"x")</f>
        <v>x</v>
      </c>
      <c r="J1322" s="20" t="str">
        <f>IFERROR(__xludf.DUMMYFUNCTION("""COMPUTED_VALUE"""),"x")</f>
        <v>x</v>
      </c>
      <c r="K1322" s="19" t="str">
        <f>IFERROR(__xludf.DUMMYFUNCTION("""COMPUTED_VALUE"""),"x")</f>
        <v>x</v>
      </c>
      <c r="L1322" s="20" t="str">
        <f>IFERROR(__xludf.DUMMYFUNCTION("""COMPUTED_VALUE"""),"x")</f>
        <v>x</v>
      </c>
      <c r="M1322" s="19" t="str">
        <f>IFERROR(__xludf.DUMMYFUNCTION("""COMPUTED_VALUE"""),"PCM")</f>
        <v>PCM</v>
      </c>
      <c r="N1322" s="19" t="str">
        <f>IFERROR(__xludf.DUMMYFUNCTION("""COMPUTED_VALUE"""),"PRIORIDAD 1 Q3 2023 OCTUBRE")</f>
        <v>PRIORIDAD 1 Q3 2023 OCTUBRE</v>
      </c>
    </row>
    <row r="1323" ht="15.75" customHeight="1">
      <c r="A1323" s="19" t="str">
        <f>IFERROR(__xludf.DUMMYFUNCTION("""COMPUTED_VALUE"""),"AB_1569")</f>
        <v>AB_1569</v>
      </c>
      <c r="B1323" s="19" t="str">
        <f>IFERROR(__xludf.DUMMYFUNCTION("""COMPUTED_VALUE"""),"AB_1569_B")</f>
        <v>AB_1569_B</v>
      </c>
      <c r="C1323" s="19" t="str">
        <f>IFERROR(__xludf.DUMMYFUNCTION("""COMPUTED_VALUE"""),"VA1569")</f>
        <v>VA1569</v>
      </c>
      <c r="D1323" s="19" t="str">
        <f>IFERROR(__xludf.DUMMYFUNCTION("""COMPUTED_VALUE"""),"La Dormida - Quebrada Alvarado")</f>
        <v>La Dormida - Quebrada Alvarado</v>
      </c>
      <c r="E1323" s="19" t="str">
        <f>IFERROR(__xludf.DUMMYFUNCTION("""COMPUTED_VALUE"""),"SITIO RFI")</f>
        <v>SITIO RFI</v>
      </c>
      <c r="F1323" s="19"/>
      <c r="G1323" s="19" t="str">
        <f>IFERROR(__xludf.DUMMYFUNCTION("""COMPUTED_VALUE"""),"x")</f>
        <v>x</v>
      </c>
      <c r="H1323" s="19" t="str">
        <f>IFERROR(__xludf.DUMMYFUNCTION("""COMPUTED_VALUE"""),"x")</f>
        <v>x</v>
      </c>
      <c r="I1323" s="19" t="str">
        <f>IFERROR(__xludf.DUMMYFUNCTION("""COMPUTED_VALUE"""),"x")</f>
        <v>x</v>
      </c>
      <c r="J1323" s="20" t="str">
        <f>IFERROR(__xludf.DUMMYFUNCTION("""COMPUTED_VALUE"""),"x")</f>
        <v>x</v>
      </c>
      <c r="K1323" s="19" t="str">
        <f>IFERROR(__xludf.DUMMYFUNCTION("""COMPUTED_VALUE"""),"x")</f>
        <v>x</v>
      </c>
      <c r="L1323" s="20" t="str">
        <f>IFERROR(__xludf.DUMMYFUNCTION("""COMPUTED_VALUE"""),"x")</f>
        <v>x</v>
      </c>
      <c r="M1323" s="19" t="str">
        <f>IFERROR(__xludf.DUMMYFUNCTION("""COMPUTED_VALUE"""),"PCM")</f>
        <v>PCM</v>
      </c>
      <c r="N1323" s="19" t="str">
        <f>IFERROR(__xludf.DUMMYFUNCTION("""COMPUTED_VALUE"""),"PRIORIDAD 1 Q3 2023 OCTUBRE")</f>
        <v>PRIORIDAD 1 Q3 2023 OCTUBRE</v>
      </c>
    </row>
    <row r="1324" ht="15.75" customHeight="1">
      <c r="A1324" s="19" t="str">
        <f>IFERROR(__xludf.DUMMYFUNCTION("""COMPUTED_VALUE"""),"AB_1614")</f>
        <v>AB_1614</v>
      </c>
      <c r="B1324" s="19" t="str">
        <f>IFERROR(__xludf.DUMMYFUNCTION("""COMPUTED_VALUE"""),"AB_1614_E")</f>
        <v>AB_1614_E</v>
      </c>
      <c r="C1324" s="19" t="str">
        <f>IFERROR(__xludf.DUMMYFUNCTION("""COMPUTED_VALUE"""),"VA1614")</f>
        <v>VA1614</v>
      </c>
      <c r="D1324" s="19" t="str">
        <f>IFERROR(__xludf.DUMMYFUNCTION("""COMPUTED_VALUE"""),"Punta Pite - Papudo")</f>
        <v>Punta Pite - Papudo</v>
      </c>
      <c r="E1324" s="19" t="str">
        <f>IFERROR(__xludf.DUMMYFUNCTION("""COMPUTED_VALUE"""),"SITIO RFI")</f>
        <v>SITIO RFI</v>
      </c>
      <c r="F1324" s="19"/>
      <c r="G1324" s="19" t="str">
        <f>IFERROR(__xludf.DUMMYFUNCTION("""COMPUTED_VALUE"""),"x")</f>
        <v>x</v>
      </c>
      <c r="H1324" s="19" t="str">
        <f>IFERROR(__xludf.DUMMYFUNCTION("""COMPUTED_VALUE"""),"x")</f>
        <v>x</v>
      </c>
      <c r="I1324" s="19" t="str">
        <f>IFERROR(__xludf.DUMMYFUNCTION("""COMPUTED_VALUE"""),"x")</f>
        <v>x</v>
      </c>
      <c r="J1324" s="20" t="str">
        <f>IFERROR(__xludf.DUMMYFUNCTION("""COMPUTED_VALUE"""),"x")</f>
        <v>x</v>
      </c>
      <c r="K1324" s="19" t="str">
        <f>IFERROR(__xludf.DUMMYFUNCTION("""COMPUTED_VALUE"""),"x")</f>
        <v>x</v>
      </c>
      <c r="L1324" s="20" t="str">
        <f>IFERROR(__xludf.DUMMYFUNCTION("""COMPUTED_VALUE"""),"x")</f>
        <v>x</v>
      </c>
      <c r="M1324" s="19" t="str">
        <f>IFERROR(__xludf.DUMMYFUNCTION("""COMPUTED_VALUE"""),"PCM")</f>
        <v>PCM</v>
      </c>
      <c r="N1324" s="19" t="str">
        <f>IFERROR(__xludf.DUMMYFUNCTION("""COMPUTED_VALUE"""),"PRIORIDAD 1 Q3 2023 OCTUBRE")</f>
        <v>PRIORIDAD 1 Q3 2023 OCTUBRE</v>
      </c>
    </row>
    <row r="1325" ht="15.75" customHeight="1">
      <c r="A1325" s="19" t="str">
        <f>IFERROR(__xludf.DUMMYFUNCTION("""COMPUTED_VALUE"""),"AB_1755")</f>
        <v>AB_1755</v>
      </c>
      <c r="B1325" s="19" t="str">
        <f>IFERROR(__xludf.DUMMYFUNCTION("""COMPUTED_VALUE"""),"AB_1755_B")</f>
        <v>AB_1755_B</v>
      </c>
      <c r="C1325" s="19" t="str">
        <f>IFERROR(__xludf.DUMMYFUNCTION("""COMPUTED_VALUE"""),"VA1755")</f>
        <v>VA1755</v>
      </c>
      <c r="D1325" s="19" t="str">
        <f>IFERROR(__xludf.DUMMYFUNCTION("""COMPUTED_VALUE"""),"Los Cerrillos Catemu")</f>
        <v>Los Cerrillos Catemu</v>
      </c>
      <c r="E1325" s="19" t="str">
        <f>IFERROR(__xludf.DUMMYFUNCTION("""COMPUTED_VALUE"""),"SITIO RFI")</f>
        <v>SITIO RFI</v>
      </c>
      <c r="F1325" s="19"/>
      <c r="G1325" s="19" t="str">
        <f>IFERROR(__xludf.DUMMYFUNCTION("""COMPUTED_VALUE"""),"x")</f>
        <v>x</v>
      </c>
      <c r="H1325" s="19" t="str">
        <f>IFERROR(__xludf.DUMMYFUNCTION("""COMPUTED_VALUE"""),"x")</f>
        <v>x</v>
      </c>
      <c r="I1325" s="19" t="str">
        <f>IFERROR(__xludf.DUMMYFUNCTION("""COMPUTED_VALUE"""),"x")</f>
        <v>x</v>
      </c>
      <c r="J1325" s="20" t="str">
        <f>IFERROR(__xludf.DUMMYFUNCTION("""COMPUTED_VALUE"""),"x")</f>
        <v>x</v>
      </c>
      <c r="K1325" s="19" t="str">
        <f>IFERROR(__xludf.DUMMYFUNCTION("""COMPUTED_VALUE"""),"x")</f>
        <v>x</v>
      </c>
      <c r="L1325" s="20" t="str">
        <f>IFERROR(__xludf.DUMMYFUNCTION("""COMPUTED_VALUE"""),"x")</f>
        <v>x</v>
      </c>
      <c r="M1325" s="19" t="str">
        <f>IFERROR(__xludf.DUMMYFUNCTION("""COMPUTED_VALUE"""),"PCM")</f>
        <v>PCM</v>
      </c>
      <c r="N1325" s="19" t="str">
        <f>IFERROR(__xludf.DUMMYFUNCTION("""COMPUTED_VALUE"""),"PRIORIDAD 1 Q3 2023 OCTUBRE")</f>
        <v>PRIORIDAD 1 Q3 2023 OCTUBRE</v>
      </c>
    </row>
    <row r="1326" ht="15.75" customHeight="1">
      <c r="A1326" s="19" t="str">
        <f>IFERROR(__xludf.DUMMYFUNCTION("""COMPUTED_VALUE"""),"AB_2760")</f>
        <v>AB_2760</v>
      </c>
      <c r="B1326" s="19" t="str">
        <f>IFERROR(__xludf.DUMMYFUNCTION("""COMPUTED_VALUE"""),"AB_2760_H")</f>
        <v>AB_2760_H</v>
      </c>
      <c r="C1326" s="19" t="str">
        <f>IFERROR(__xludf.DUMMYFUNCTION("""COMPUTED_VALUE"""),"VA2760")</f>
        <v>VA2760</v>
      </c>
      <c r="D1326" s="19" t="str">
        <f>IFERROR(__xludf.DUMMYFUNCTION("""COMPUTED_VALUE"""),"El Totoral Ruta")</f>
        <v>El Totoral Ruta</v>
      </c>
      <c r="E1326" s="19" t="str">
        <f>IFERROR(__xludf.DUMMYFUNCTION("""COMPUTED_VALUE"""),"SITIO RFI")</f>
        <v>SITIO RFI</v>
      </c>
      <c r="F1326" s="19"/>
      <c r="G1326" s="19" t="str">
        <f>IFERROR(__xludf.DUMMYFUNCTION("""COMPUTED_VALUE"""),"x")</f>
        <v>x</v>
      </c>
      <c r="H1326" s="19" t="str">
        <f>IFERROR(__xludf.DUMMYFUNCTION("""COMPUTED_VALUE"""),"x")</f>
        <v>x</v>
      </c>
      <c r="I1326" s="19" t="str">
        <f>IFERROR(__xludf.DUMMYFUNCTION("""COMPUTED_VALUE"""),"x")</f>
        <v>x</v>
      </c>
      <c r="J1326" s="20" t="str">
        <f>IFERROR(__xludf.DUMMYFUNCTION("""COMPUTED_VALUE"""),"x")</f>
        <v>x</v>
      </c>
      <c r="K1326" s="19" t="str">
        <f>IFERROR(__xludf.DUMMYFUNCTION("""COMPUTED_VALUE"""),"x")</f>
        <v>x</v>
      </c>
      <c r="L1326" s="20" t="str">
        <f>IFERROR(__xludf.DUMMYFUNCTION("""COMPUTED_VALUE"""),"x")</f>
        <v>x</v>
      </c>
      <c r="M1326" s="19" t="str">
        <f>IFERROR(__xludf.DUMMYFUNCTION("""COMPUTED_VALUE"""),"PCM")</f>
        <v>PCM</v>
      </c>
      <c r="N1326" s="19" t="str">
        <f>IFERROR(__xludf.DUMMYFUNCTION("""COMPUTED_VALUE"""),"PRIORIDAD 1 Q3 2023 OCTUBRE")</f>
        <v>PRIORIDAD 1 Q3 2023 OCTUBRE</v>
      </c>
    </row>
    <row r="1327" ht="15.75" customHeight="1">
      <c r="A1327" s="19" t="str">
        <f>IFERROR(__xludf.DUMMYFUNCTION("""COMPUTED_VALUE"""),"AB_3160")</f>
        <v>AB_3160</v>
      </c>
      <c r="B1327" s="19" t="str">
        <f>IFERROR(__xludf.DUMMYFUNCTION("""COMPUTED_VALUE"""),"AB_3160_F")</f>
        <v>AB_3160_F</v>
      </c>
      <c r="C1327" s="19" t="str">
        <f>IFERROR(__xludf.DUMMYFUNCTION("""COMPUTED_VALUE"""),"VA3160")</f>
        <v>VA3160</v>
      </c>
      <c r="D1327" s="19" t="str">
        <f>IFERROR(__xludf.DUMMYFUNCTION("""COMPUTED_VALUE"""),"La Orquidea")</f>
        <v>La Orquidea</v>
      </c>
      <c r="E1327" s="19" t="str">
        <f>IFERROR(__xludf.DUMMYFUNCTION("""COMPUTED_VALUE"""),"SITIO RFI")</f>
        <v>SITIO RFI</v>
      </c>
      <c r="F1327" s="19"/>
      <c r="G1327" s="19" t="str">
        <f>IFERROR(__xludf.DUMMYFUNCTION("""COMPUTED_VALUE"""),"x")</f>
        <v>x</v>
      </c>
      <c r="H1327" s="19" t="str">
        <f>IFERROR(__xludf.DUMMYFUNCTION("""COMPUTED_VALUE"""),"x")</f>
        <v>x</v>
      </c>
      <c r="I1327" s="19" t="str">
        <f>IFERROR(__xludf.DUMMYFUNCTION("""COMPUTED_VALUE"""),"x")</f>
        <v>x</v>
      </c>
      <c r="J1327" s="20" t="str">
        <f>IFERROR(__xludf.DUMMYFUNCTION("""COMPUTED_VALUE"""),"x")</f>
        <v>x</v>
      </c>
      <c r="K1327" s="19" t="str">
        <f>IFERROR(__xludf.DUMMYFUNCTION("""COMPUTED_VALUE"""),"x")</f>
        <v>x</v>
      </c>
      <c r="L1327" s="20" t="str">
        <f>IFERROR(__xludf.DUMMYFUNCTION("""COMPUTED_VALUE"""),"x")</f>
        <v>x</v>
      </c>
      <c r="M1327" s="19" t="str">
        <f>IFERROR(__xludf.DUMMYFUNCTION("""COMPUTED_VALUE"""),"PCM")</f>
        <v>PCM</v>
      </c>
      <c r="N1327" s="19" t="str">
        <f>IFERROR(__xludf.DUMMYFUNCTION("""COMPUTED_VALUE"""),"PRIORIDAD 1 Q3 2023 OCTUBRE")</f>
        <v>PRIORIDAD 1 Q3 2023 OCTUBRE</v>
      </c>
    </row>
    <row r="1328" ht="15.75" customHeight="1">
      <c r="A1328" s="19" t="str">
        <f>IFERROR(__xludf.DUMMYFUNCTION("""COMPUTED_VALUE"""),"AB_4369")</f>
        <v>AB_4369</v>
      </c>
      <c r="B1328" s="19" t="str">
        <f>IFERROR(__xludf.DUMMYFUNCTION("""COMPUTED_VALUE"""),"AB_4369_B")</f>
        <v>AB_4369_B</v>
      </c>
      <c r="C1328" s="19" t="str">
        <f>IFERROR(__xludf.DUMMYFUNCTION("""COMPUTED_VALUE"""),"VA4369")</f>
        <v>VA4369</v>
      </c>
      <c r="D1328" s="19" t="str">
        <f>IFERROR(__xludf.DUMMYFUNCTION("""COMPUTED_VALUE"""),"Estero Quintero")</f>
        <v>Estero Quintero</v>
      </c>
      <c r="E1328" s="19" t="str">
        <f>IFERROR(__xludf.DUMMYFUNCTION("""COMPUTED_VALUE"""),"SITIO RFI")</f>
        <v>SITIO RFI</v>
      </c>
      <c r="F1328" s="19"/>
      <c r="G1328" s="19" t="str">
        <f>IFERROR(__xludf.DUMMYFUNCTION("""COMPUTED_VALUE"""),"x")</f>
        <v>x</v>
      </c>
      <c r="H1328" s="19" t="str">
        <f>IFERROR(__xludf.DUMMYFUNCTION("""COMPUTED_VALUE"""),"x")</f>
        <v>x</v>
      </c>
      <c r="I1328" s="19" t="str">
        <f>IFERROR(__xludf.DUMMYFUNCTION("""COMPUTED_VALUE"""),"x")</f>
        <v>x</v>
      </c>
      <c r="J1328" s="20" t="str">
        <f>IFERROR(__xludf.DUMMYFUNCTION("""COMPUTED_VALUE"""),"x")</f>
        <v>x</v>
      </c>
      <c r="K1328" s="19" t="str">
        <f>IFERROR(__xludf.DUMMYFUNCTION("""COMPUTED_VALUE"""),"x")</f>
        <v>x</v>
      </c>
      <c r="L1328" s="20" t="str">
        <f>IFERROR(__xludf.DUMMYFUNCTION("""COMPUTED_VALUE"""),"x")</f>
        <v>x</v>
      </c>
      <c r="M1328" s="19" t="str">
        <f>IFERROR(__xludf.DUMMYFUNCTION("""COMPUTED_VALUE"""),"PCM")</f>
        <v>PCM</v>
      </c>
      <c r="N1328" s="19" t="str">
        <f>IFERROR(__xludf.DUMMYFUNCTION("""COMPUTED_VALUE"""),"PRIORIDAD 1 Q3 2023 OCTUBRE")</f>
        <v>PRIORIDAD 1 Q3 2023 OCTUBRE</v>
      </c>
    </row>
    <row r="1329" ht="15.75" customHeight="1">
      <c r="A1329" s="19" t="str">
        <f>IFERROR(__xludf.DUMMYFUNCTION("""COMPUTED_VALUE"""),"AB_5595")</f>
        <v>AB_5595</v>
      </c>
      <c r="B1329" s="19" t="str">
        <f>IFERROR(__xludf.DUMMYFUNCTION("""COMPUTED_VALUE"""),"AB_5595_C")</f>
        <v>AB_5595_C</v>
      </c>
      <c r="C1329" s="19" t="str">
        <f>IFERROR(__xludf.DUMMYFUNCTION("""COMPUTED_VALUE"""),"VA5595")</f>
        <v>VA5595</v>
      </c>
      <c r="D1329" s="19" t="str">
        <f>IFERROR(__xludf.DUMMYFUNCTION("""COMPUTED_VALUE"""),"Tabito Alto")</f>
        <v>Tabito Alto</v>
      </c>
      <c r="E1329" s="19" t="str">
        <f>IFERROR(__xludf.DUMMYFUNCTION("""COMPUTED_VALUE"""),"SITIO ASIGNADO")</f>
        <v>SITIO ASIGNADO</v>
      </c>
      <c r="F1329" s="19"/>
      <c r="G1329" s="19" t="str">
        <f>IFERROR(__xludf.DUMMYFUNCTION("""COMPUTED_VALUE"""),"x")</f>
        <v>x</v>
      </c>
      <c r="H1329" s="19" t="str">
        <f>IFERROR(__xludf.DUMMYFUNCTION("""COMPUTED_VALUE"""),"x")</f>
        <v>x</v>
      </c>
      <c r="I1329" s="19" t="str">
        <f>IFERROR(__xludf.DUMMYFUNCTION("""COMPUTED_VALUE"""),"x")</f>
        <v>x</v>
      </c>
      <c r="J1329" s="20" t="str">
        <f>IFERROR(__xludf.DUMMYFUNCTION("""COMPUTED_VALUE"""),"x")</f>
        <v>x</v>
      </c>
      <c r="K1329" s="19" t="str">
        <f>IFERROR(__xludf.DUMMYFUNCTION("""COMPUTED_VALUE"""),"x")</f>
        <v>x</v>
      </c>
      <c r="L1329" s="20" t="str">
        <f>IFERROR(__xludf.DUMMYFUNCTION("""COMPUTED_VALUE"""),"x")</f>
        <v>x</v>
      </c>
      <c r="M1329" s="19" t="str">
        <f>IFERROR(__xludf.DUMMYFUNCTION("""COMPUTED_VALUE"""),"PCM")</f>
        <v>PCM</v>
      </c>
      <c r="N1329" s="19" t="str">
        <f>IFERROR(__xludf.DUMMYFUNCTION("""COMPUTED_VALUE"""),"PRIORIDAD 1 Q3 2023 OCTUBRE")</f>
        <v>PRIORIDAD 1 Q3 2023 OCTUBRE</v>
      </c>
    </row>
    <row r="1330" ht="15.75" customHeight="1">
      <c r="A1330" s="19" t="str">
        <f>IFERROR(__xludf.DUMMYFUNCTION("""COMPUTED_VALUE"""),"AB_6168")</f>
        <v>AB_6168</v>
      </c>
      <c r="B1330" s="19" t="str">
        <f>IFERROR(__xludf.DUMMYFUNCTION("""COMPUTED_VALUE"""),"AB_6168_A")</f>
        <v>AB_6168_A</v>
      </c>
      <c r="C1330" s="19" t="str">
        <f>IFERROR(__xludf.DUMMYFUNCTION("""COMPUTED_VALUE"""),"VA6168")</f>
        <v>VA6168</v>
      </c>
      <c r="D1330" s="19" t="str">
        <f>IFERROR(__xludf.DUMMYFUNCTION("""COMPUTED_VALUE"""),"Punta Llay Llay")</f>
        <v>Punta Llay Llay</v>
      </c>
      <c r="E1330" s="19" t="str">
        <f>IFERROR(__xludf.DUMMYFUNCTION("""COMPUTED_VALUE"""),"SITIO RFI")</f>
        <v>SITIO RFI</v>
      </c>
      <c r="F1330" s="19"/>
      <c r="G1330" s="19" t="str">
        <f>IFERROR(__xludf.DUMMYFUNCTION("""COMPUTED_VALUE"""),"x")</f>
        <v>x</v>
      </c>
      <c r="H1330" s="19" t="str">
        <f>IFERROR(__xludf.DUMMYFUNCTION("""COMPUTED_VALUE"""),"x")</f>
        <v>x</v>
      </c>
      <c r="I1330" s="19" t="str">
        <f>IFERROR(__xludf.DUMMYFUNCTION("""COMPUTED_VALUE"""),"x")</f>
        <v>x</v>
      </c>
      <c r="J1330" s="20" t="str">
        <f>IFERROR(__xludf.DUMMYFUNCTION("""COMPUTED_VALUE"""),"x")</f>
        <v>x</v>
      </c>
      <c r="K1330" s="19" t="str">
        <f>IFERROR(__xludf.DUMMYFUNCTION("""COMPUTED_VALUE"""),"x")</f>
        <v>x</v>
      </c>
      <c r="L1330" s="20" t="str">
        <f>IFERROR(__xludf.DUMMYFUNCTION("""COMPUTED_VALUE"""),"x")</f>
        <v>x</v>
      </c>
      <c r="M1330" s="19" t="str">
        <f>IFERROR(__xludf.DUMMYFUNCTION("""COMPUTED_VALUE"""),"PCM")</f>
        <v>PCM</v>
      </c>
      <c r="N1330" s="19" t="str">
        <f>IFERROR(__xludf.DUMMYFUNCTION("""COMPUTED_VALUE"""),"PRIORIDAD 1 Q3 2023 OCTUBRE")</f>
        <v>PRIORIDAD 1 Q3 2023 OCTUBRE</v>
      </c>
    </row>
    <row r="1331" ht="15.75" customHeight="1">
      <c r="A1331" s="19" t="str">
        <f>IFERROR(__xludf.DUMMYFUNCTION("""COMPUTED_VALUE"""),"AB_6688")</f>
        <v>AB_6688</v>
      </c>
      <c r="B1331" s="19" t="str">
        <f>IFERROR(__xludf.DUMMYFUNCTION("""COMPUTED_VALUE"""),"AB_6688_J")</f>
        <v>AB_6688_J</v>
      </c>
      <c r="C1331" s="19" t="str">
        <f>IFERROR(__xludf.DUMMYFUNCTION("""COMPUTED_VALUE"""),"VA6688")</f>
        <v>VA6688</v>
      </c>
      <c r="D1331" s="19" t="str">
        <f>IFERROR(__xludf.DUMMYFUNCTION("""COMPUTED_VALUE"""),"Costa Azul RU1")</f>
        <v>Costa Azul RU1</v>
      </c>
      <c r="E1331" s="19" t="str">
        <f>IFERROR(__xludf.DUMMYFUNCTION("""COMPUTED_VALUE"""),"SITIO RFI")</f>
        <v>SITIO RFI</v>
      </c>
      <c r="F1331" s="19"/>
      <c r="G1331" s="19" t="str">
        <f>IFERROR(__xludf.DUMMYFUNCTION("""COMPUTED_VALUE"""),"x")</f>
        <v>x</v>
      </c>
      <c r="H1331" s="19" t="str">
        <f>IFERROR(__xludf.DUMMYFUNCTION("""COMPUTED_VALUE"""),"x")</f>
        <v>x</v>
      </c>
      <c r="I1331" s="19" t="str">
        <f>IFERROR(__xludf.DUMMYFUNCTION("""COMPUTED_VALUE"""),"x")</f>
        <v>x</v>
      </c>
      <c r="J1331" s="20" t="str">
        <f>IFERROR(__xludf.DUMMYFUNCTION("""COMPUTED_VALUE"""),"x")</f>
        <v>x</v>
      </c>
      <c r="K1331" s="19" t="str">
        <f>IFERROR(__xludf.DUMMYFUNCTION("""COMPUTED_VALUE"""),"x")</f>
        <v>x</v>
      </c>
      <c r="L1331" s="20" t="str">
        <f>IFERROR(__xludf.DUMMYFUNCTION("""COMPUTED_VALUE"""),"x")</f>
        <v>x</v>
      </c>
      <c r="M1331" s="19" t="str">
        <f>IFERROR(__xludf.DUMMYFUNCTION("""COMPUTED_VALUE"""),"PCM")</f>
        <v>PCM</v>
      </c>
      <c r="N1331" s="19" t="str">
        <f>IFERROR(__xludf.DUMMYFUNCTION("""COMPUTED_VALUE"""),"PRIORIDAD 1 Q3 2023 OCTUBRE")</f>
        <v>PRIORIDAD 1 Q3 2023 OCTUBRE</v>
      </c>
    </row>
    <row r="1332" ht="15.75" customHeight="1">
      <c r="A1332" s="19" t="str">
        <f>IFERROR(__xludf.DUMMYFUNCTION("""COMPUTED_VALUE"""),"AB_8009")</f>
        <v>AB_8009</v>
      </c>
      <c r="B1332" s="19" t="str">
        <f>IFERROR(__xludf.DUMMYFUNCTION("""COMPUTED_VALUE"""),"AB_8009_F")</f>
        <v>AB_8009_F</v>
      </c>
      <c r="C1332" s="19" t="str">
        <f>IFERROR(__xludf.DUMMYFUNCTION("""COMPUTED_VALUE"""),"VA8009")</f>
        <v>VA8009</v>
      </c>
      <c r="D1332" s="19" t="str">
        <f>IFERROR(__xludf.DUMMYFUNCTION("""COMPUTED_VALUE"""),"Forestal Bajo RU1")</f>
        <v>Forestal Bajo RU1</v>
      </c>
      <c r="E1332" s="19" t="str">
        <f>IFERROR(__xludf.DUMMYFUNCTION("""COMPUTED_VALUE"""),"SITIO RFI")</f>
        <v>SITIO RFI</v>
      </c>
      <c r="F1332" s="19"/>
      <c r="G1332" s="19" t="str">
        <f>IFERROR(__xludf.DUMMYFUNCTION("""COMPUTED_VALUE"""),"x")</f>
        <v>x</v>
      </c>
      <c r="H1332" s="19" t="str">
        <f>IFERROR(__xludf.DUMMYFUNCTION("""COMPUTED_VALUE"""),"x")</f>
        <v>x</v>
      </c>
      <c r="I1332" s="19" t="str">
        <f>IFERROR(__xludf.DUMMYFUNCTION("""COMPUTED_VALUE"""),"x")</f>
        <v>x</v>
      </c>
      <c r="J1332" s="20" t="str">
        <f>IFERROR(__xludf.DUMMYFUNCTION("""COMPUTED_VALUE"""),"x")</f>
        <v>x</v>
      </c>
      <c r="K1332" s="19" t="str">
        <f>IFERROR(__xludf.DUMMYFUNCTION("""COMPUTED_VALUE"""),"x")</f>
        <v>x</v>
      </c>
      <c r="L1332" s="20" t="str">
        <f>IFERROR(__xludf.DUMMYFUNCTION("""COMPUTED_VALUE"""),"x")</f>
        <v>x</v>
      </c>
      <c r="M1332" s="19" t="str">
        <f>IFERROR(__xludf.DUMMYFUNCTION("""COMPUTED_VALUE"""),"PCM")</f>
        <v>PCM</v>
      </c>
      <c r="N1332" s="19" t="str">
        <f>IFERROR(__xludf.DUMMYFUNCTION("""COMPUTED_VALUE"""),"PRIORIDAD 1 Q3 2023 OCTUBRE")</f>
        <v>PRIORIDAD 1 Q3 2023 OCTUBRE</v>
      </c>
    </row>
    <row r="1333" ht="15.75" customHeight="1">
      <c r="A1333" s="19" t="str">
        <f>IFERROR(__xludf.DUMMYFUNCTION("""COMPUTED_VALUE"""),"AB_8119")</f>
        <v>AB_8119</v>
      </c>
      <c r="B1333" s="19" t="str">
        <f>IFERROR(__xludf.DUMMYFUNCTION("""COMPUTED_VALUE"""),"AB_8119_D")</f>
        <v>AB_8119_D</v>
      </c>
      <c r="C1333" s="19" t="str">
        <f>IFERROR(__xludf.DUMMYFUNCTION("""COMPUTED_VALUE"""),"VA8119")</f>
        <v>VA8119</v>
      </c>
      <c r="D1333" s="19" t="str">
        <f>IFERROR(__xludf.DUMMYFUNCTION("""COMPUTED_VALUE"""),"San José de Bochinche")</f>
        <v>San José de Bochinche</v>
      </c>
      <c r="E1333" s="19" t="str">
        <f>IFERROR(__xludf.DUMMYFUNCTION("""COMPUTED_VALUE"""),"SITIO RFI")</f>
        <v>SITIO RFI</v>
      </c>
      <c r="F1333" s="19"/>
      <c r="G1333" s="19" t="str">
        <f>IFERROR(__xludf.DUMMYFUNCTION("""COMPUTED_VALUE"""),"x")</f>
        <v>x</v>
      </c>
      <c r="H1333" s="19" t="str">
        <f>IFERROR(__xludf.DUMMYFUNCTION("""COMPUTED_VALUE"""),"x")</f>
        <v>x</v>
      </c>
      <c r="I1333" s="19" t="str">
        <f>IFERROR(__xludf.DUMMYFUNCTION("""COMPUTED_VALUE"""),"x")</f>
        <v>x</v>
      </c>
      <c r="J1333" s="20" t="str">
        <f>IFERROR(__xludf.DUMMYFUNCTION("""COMPUTED_VALUE"""),"x")</f>
        <v>x</v>
      </c>
      <c r="K1333" s="19" t="str">
        <f>IFERROR(__xludf.DUMMYFUNCTION("""COMPUTED_VALUE"""),"x")</f>
        <v>x</v>
      </c>
      <c r="L1333" s="20" t="str">
        <f>IFERROR(__xludf.DUMMYFUNCTION("""COMPUTED_VALUE"""),"x")</f>
        <v>x</v>
      </c>
      <c r="M1333" s="19" t="str">
        <f>IFERROR(__xludf.DUMMYFUNCTION("""COMPUTED_VALUE"""),"PCM")</f>
        <v>PCM</v>
      </c>
      <c r="N1333" s="19" t="str">
        <f>IFERROR(__xludf.DUMMYFUNCTION("""COMPUTED_VALUE"""),"PRIORIDAD 1 Q3 2023 OCTUBRE")</f>
        <v>PRIORIDAD 1 Q3 2023 OCTUBRE</v>
      </c>
    </row>
    <row r="1334" ht="15.75" customHeight="1">
      <c r="A1334" s="19" t="str">
        <f>IFERROR(__xludf.DUMMYFUNCTION("""COMPUTED_VALUE"""),"AB_8499")</f>
        <v>AB_8499</v>
      </c>
      <c r="B1334" s="19" t="str">
        <f>IFERROR(__xludf.DUMMYFUNCTION("""COMPUTED_VALUE"""),"AB_8499_B")</f>
        <v>AB_8499_B</v>
      </c>
      <c r="C1334" s="19" t="str">
        <f>IFERROR(__xludf.DUMMYFUNCTION("""COMPUTED_VALUE"""),"VA8499")</f>
        <v>VA8499</v>
      </c>
      <c r="D1334" s="19" t="str">
        <f>IFERROR(__xludf.DUMMYFUNCTION("""COMPUTED_VALUE"""),"Camino Costero Porvenir")</f>
        <v>Camino Costero Porvenir</v>
      </c>
      <c r="E1334" s="19" t="str">
        <f>IFERROR(__xludf.DUMMYFUNCTION("""COMPUTED_VALUE"""),"SITIO ASIGNADO")</f>
        <v>SITIO ASIGNADO</v>
      </c>
      <c r="F1334" s="19"/>
      <c r="G1334" s="19" t="str">
        <f>IFERROR(__xludf.DUMMYFUNCTION("""COMPUTED_VALUE"""),"x")</f>
        <v>x</v>
      </c>
      <c r="H1334" s="19" t="str">
        <f>IFERROR(__xludf.DUMMYFUNCTION("""COMPUTED_VALUE"""),"x")</f>
        <v>x</v>
      </c>
      <c r="I1334" s="19" t="str">
        <f>IFERROR(__xludf.DUMMYFUNCTION("""COMPUTED_VALUE"""),"x")</f>
        <v>x</v>
      </c>
      <c r="J1334" s="20" t="str">
        <f>IFERROR(__xludf.DUMMYFUNCTION("""COMPUTED_VALUE"""),"x")</f>
        <v>x</v>
      </c>
      <c r="K1334" s="19" t="str">
        <f>IFERROR(__xludf.DUMMYFUNCTION("""COMPUTED_VALUE"""),"x")</f>
        <v>x</v>
      </c>
      <c r="L1334" s="20" t="str">
        <f>IFERROR(__xludf.DUMMYFUNCTION("""COMPUTED_VALUE"""),"x")</f>
        <v>x</v>
      </c>
      <c r="M1334" s="19" t="str">
        <f>IFERROR(__xludf.DUMMYFUNCTION("""COMPUTED_VALUE"""),"PP")</f>
        <v>PP</v>
      </c>
      <c r="N1334" s="19" t="str">
        <f>IFERROR(__xludf.DUMMYFUNCTION("""COMPUTED_VALUE"""),"PRIORIDAD 1 Q3 2023 OCTUBRE")</f>
        <v>PRIORIDAD 1 Q3 2023 OCTUBRE</v>
      </c>
    </row>
    <row r="1335" ht="15.75" customHeight="1">
      <c r="A1335" s="19" t="str">
        <f>IFERROR(__xludf.DUMMYFUNCTION("""COMPUTED_VALUE"""),"AB_8664")</f>
        <v>AB_8664</v>
      </c>
      <c r="B1335" s="19" t="str">
        <f>IFERROR(__xludf.DUMMYFUNCTION("""COMPUTED_VALUE"""),"AB_8664_B")</f>
        <v>AB_8664_B</v>
      </c>
      <c r="C1335" s="19" t="str">
        <f>IFERROR(__xludf.DUMMYFUNCTION("""COMPUTED_VALUE"""),"VA8664")</f>
        <v>VA8664</v>
      </c>
      <c r="D1335" s="19" t="str">
        <f>IFERROR(__xludf.DUMMYFUNCTION("""COMPUTED_VALUE"""),"La Ballena Sur")</f>
        <v>La Ballena Sur</v>
      </c>
      <c r="E1335" s="19" t="str">
        <f>IFERROR(__xludf.DUMMYFUNCTION("""COMPUTED_VALUE"""),"SITIO ASIGNADO")</f>
        <v>SITIO ASIGNADO</v>
      </c>
      <c r="F1335" s="19"/>
      <c r="G1335" s="19" t="str">
        <f>IFERROR(__xludf.DUMMYFUNCTION("""COMPUTED_VALUE"""),"x")</f>
        <v>x</v>
      </c>
      <c r="H1335" s="19" t="str">
        <f>IFERROR(__xludf.DUMMYFUNCTION("""COMPUTED_VALUE"""),"x")</f>
        <v>x</v>
      </c>
      <c r="I1335" s="19" t="str">
        <f>IFERROR(__xludf.DUMMYFUNCTION("""COMPUTED_VALUE"""),"x")</f>
        <v>x</v>
      </c>
      <c r="J1335" s="20" t="str">
        <f>IFERROR(__xludf.DUMMYFUNCTION("""COMPUTED_VALUE"""),"x")</f>
        <v>x</v>
      </c>
      <c r="K1335" s="19" t="str">
        <f>IFERROR(__xludf.DUMMYFUNCTION("""COMPUTED_VALUE"""),"x")</f>
        <v>x</v>
      </c>
      <c r="L1335" s="20" t="str">
        <f>IFERROR(__xludf.DUMMYFUNCTION("""COMPUTED_VALUE"""),"x")</f>
        <v>x</v>
      </c>
      <c r="M1335" s="19" t="str">
        <f>IFERROR(__xludf.DUMMYFUNCTION("""COMPUTED_VALUE"""),"PP")</f>
        <v>PP</v>
      </c>
      <c r="N1335" s="19" t="str">
        <f>IFERROR(__xludf.DUMMYFUNCTION("""COMPUTED_VALUE"""),"PRIORIDAD 1 Q3 2023 OCTUBRE")</f>
        <v>PRIORIDAD 1 Q3 2023 OCTUBRE</v>
      </c>
    </row>
    <row r="1336" ht="15.75" customHeight="1">
      <c r="A1336" s="19" t="str">
        <f>IFERROR(__xludf.DUMMYFUNCTION("""COMPUTED_VALUE"""),"AB_9601")</f>
        <v>AB_9601</v>
      </c>
      <c r="B1336" s="19" t="str">
        <f>IFERROR(__xludf.DUMMYFUNCTION("""COMPUTED_VALUE"""),"AB_9601_B")</f>
        <v>AB_9601_B</v>
      </c>
      <c r="C1336" s="19" t="str">
        <f>IFERROR(__xludf.DUMMYFUNCTION("""COMPUTED_VALUE"""),"VA9601")</f>
        <v>VA9601</v>
      </c>
      <c r="D1336" s="19" t="str">
        <f>IFERROR(__xludf.DUMMYFUNCTION("""COMPUTED_VALUE"""),"Ruta Papudo - Zapallar")</f>
        <v>Ruta Papudo - Zapallar</v>
      </c>
      <c r="E1336" s="19" t="str">
        <f>IFERROR(__xludf.DUMMYFUNCTION("""COMPUTED_VALUE"""),"SITIO ASIGNADO")</f>
        <v>SITIO ASIGNADO</v>
      </c>
      <c r="F1336" s="19"/>
      <c r="G1336" s="19" t="str">
        <f>IFERROR(__xludf.DUMMYFUNCTION("""COMPUTED_VALUE"""),"CV42")</f>
        <v>CV42</v>
      </c>
      <c r="H1336" s="19" t="str">
        <f>IFERROR(__xludf.DUMMYFUNCTION("""COMPUTED_VALUE"""),"INGENIUS")</f>
        <v>INGENIUS</v>
      </c>
      <c r="I1336" s="19" t="str">
        <f>IFERROR(__xludf.DUMMYFUNCTION("""COMPUTED_VALUE"""),"Terminada")</f>
        <v>Terminada</v>
      </c>
      <c r="J1336" s="20">
        <f>IFERROR(__xludf.DUMMYFUNCTION("""COMPUTED_VALUE"""),45042.0)</f>
        <v>45042</v>
      </c>
      <c r="K1336" s="19" t="str">
        <f>IFERROR(__xludf.DUMMYFUNCTION("""COMPUTED_VALUE"""),"En fabricacion")</f>
        <v>En fabricacion</v>
      </c>
      <c r="L1336" s="20">
        <f>IFERROR(__xludf.DUMMYFUNCTION("""COMPUTED_VALUE"""),45131.0)</f>
        <v>45131</v>
      </c>
      <c r="M1336" s="19" t="str">
        <f>IFERROR(__xludf.DUMMYFUNCTION("""COMPUTED_VALUE"""),"PP")</f>
        <v>PP</v>
      </c>
      <c r="N1336" s="19" t="str">
        <f>IFERROR(__xludf.DUMMYFUNCTION("""COMPUTED_VALUE"""),"PRIORIDAD 1 Q3 2023 OCTUBRE")</f>
        <v>PRIORIDAD 1 Q3 2023 OCTUBRE</v>
      </c>
    </row>
    <row r="1337" ht="15.75" customHeight="1">
      <c r="A1337" s="19" t="str">
        <f>IFERROR(__xludf.DUMMYFUNCTION("""COMPUTED_VALUE"""),"AB_9644")</f>
        <v>AB_9644</v>
      </c>
      <c r="B1337" s="19" t="str">
        <f>IFERROR(__xludf.DUMMYFUNCTION("""COMPUTED_VALUE"""),"AB_9644_C")</f>
        <v>AB_9644_C</v>
      </c>
      <c r="C1337" s="19" t="str">
        <f>IFERROR(__xludf.DUMMYFUNCTION("""COMPUTED_VALUE"""),"VA9644")</f>
        <v>VA9644</v>
      </c>
      <c r="D1337" s="19" t="str">
        <f>IFERROR(__xludf.DUMMYFUNCTION("""COMPUTED_VALUE"""),"Bellavista San Felipe")</f>
        <v>Bellavista San Felipe</v>
      </c>
      <c r="E1337" s="19" t="str">
        <f>IFERROR(__xludf.DUMMYFUNCTION("""COMPUTED_VALUE"""),"SITIO RFI")</f>
        <v>SITIO RFI</v>
      </c>
      <c r="F1337" s="19"/>
      <c r="G1337" s="19" t="str">
        <f>IFERROR(__xludf.DUMMYFUNCTION("""COMPUTED_VALUE"""),"x")</f>
        <v>x</v>
      </c>
      <c r="H1337" s="19" t="str">
        <f>IFERROR(__xludf.DUMMYFUNCTION("""COMPUTED_VALUE"""),"x")</f>
        <v>x</v>
      </c>
      <c r="I1337" s="19" t="str">
        <f>IFERROR(__xludf.DUMMYFUNCTION("""COMPUTED_VALUE"""),"x")</f>
        <v>x</v>
      </c>
      <c r="J1337" s="20" t="str">
        <f>IFERROR(__xludf.DUMMYFUNCTION("""COMPUTED_VALUE"""),"x")</f>
        <v>x</v>
      </c>
      <c r="K1337" s="19" t="str">
        <f>IFERROR(__xludf.DUMMYFUNCTION("""COMPUTED_VALUE"""),"x")</f>
        <v>x</v>
      </c>
      <c r="L1337" s="20" t="str">
        <f>IFERROR(__xludf.DUMMYFUNCTION("""COMPUTED_VALUE"""),"x")</f>
        <v>x</v>
      </c>
      <c r="M1337" s="19" t="str">
        <f>IFERROR(__xludf.DUMMYFUNCTION("""COMPUTED_VALUE"""),"PCM")</f>
        <v>PCM</v>
      </c>
      <c r="N1337" s="19" t="str">
        <f>IFERROR(__xludf.DUMMYFUNCTION("""COMPUTED_VALUE"""),"PRIORIDAD 1 Q3 2023 OCTUBRE")</f>
        <v>PRIORIDAD 1 Q3 2023 OCTUBRE</v>
      </c>
    </row>
    <row r="1338" ht="15.75" customHeight="1">
      <c r="A1338" s="19" t="str">
        <f>IFERROR(__xludf.DUMMYFUNCTION("""COMPUTED_VALUE"""),"AB_9647")</f>
        <v>AB_9647</v>
      </c>
      <c r="B1338" s="19" t="str">
        <f>IFERROR(__xludf.DUMMYFUNCTION("""COMPUTED_VALUE"""),"AB_9647_A")</f>
        <v>AB_9647_A</v>
      </c>
      <c r="C1338" s="19" t="str">
        <f>IFERROR(__xludf.DUMMYFUNCTION("""COMPUTED_VALUE"""),"VA9647")</f>
        <v>VA9647</v>
      </c>
      <c r="D1338" s="19" t="str">
        <f>IFERROR(__xludf.DUMMYFUNCTION("""COMPUTED_VALUE"""),"Cerro El Roble")</f>
        <v>Cerro El Roble</v>
      </c>
      <c r="E1338" s="19" t="str">
        <f>IFERROR(__xludf.DUMMYFUNCTION("""COMPUTED_VALUE"""),"SITIO RFI")</f>
        <v>SITIO RFI</v>
      </c>
      <c r="F1338" s="19"/>
      <c r="G1338" s="19" t="str">
        <f>IFERROR(__xludf.DUMMYFUNCTION("""COMPUTED_VALUE"""),"x")</f>
        <v>x</v>
      </c>
      <c r="H1338" s="19" t="str">
        <f>IFERROR(__xludf.DUMMYFUNCTION("""COMPUTED_VALUE"""),"x")</f>
        <v>x</v>
      </c>
      <c r="I1338" s="19" t="str">
        <f>IFERROR(__xludf.DUMMYFUNCTION("""COMPUTED_VALUE"""),"x")</f>
        <v>x</v>
      </c>
      <c r="J1338" s="20" t="str">
        <f>IFERROR(__xludf.DUMMYFUNCTION("""COMPUTED_VALUE"""),"x")</f>
        <v>x</v>
      </c>
      <c r="K1338" s="19" t="str">
        <f>IFERROR(__xludf.DUMMYFUNCTION("""COMPUTED_VALUE"""),"x")</f>
        <v>x</v>
      </c>
      <c r="L1338" s="20" t="str">
        <f>IFERROR(__xludf.DUMMYFUNCTION("""COMPUTED_VALUE"""),"x")</f>
        <v>x</v>
      </c>
      <c r="M1338" s="19" t="str">
        <f>IFERROR(__xludf.DUMMYFUNCTION("""COMPUTED_VALUE"""),"PCM")</f>
        <v>PCM</v>
      </c>
      <c r="N1338" s="19" t="str">
        <f>IFERROR(__xludf.DUMMYFUNCTION("""COMPUTED_VALUE"""),"PRIORIDAD 1 Q3 2023 OCTUBRE")</f>
        <v>PRIORIDAD 1 Q3 2023 OCTUBRE</v>
      </c>
    </row>
    <row r="1339" ht="15.75" customHeight="1">
      <c r="A1339" s="19" t="str">
        <f>IFERROR(__xludf.DUMMYFUNCTION("""COMPUTED_VALUE"""),"AB_9753")</f>
        <v>AB_9753</v>
      </c>
      <c r="B1339" s="19" t="str">
        <f>IFERROR(__xludf.DUMMYFUNCTION("""COMPUTED_VALUE"""),"AB_9753_F")</f>
        <v>AB_9753_F</v>
      </c>
      <c r="C1339" s="19" t="str">
        <f>IFERROR(__xludf.DUMMYFUNCTION("""COMPUTED_VALUE"""),"VA9753")</f>
        <v>VA9753</v>
      </c>
      <c r="D1339" s="19" t="str">
        <f>IFERROR(__xludf.DUMMYFUNCTION("""COMPUTED_VALUE"""),"San Enrique")</f>
        <v>San Enrique</v>
      </c>
      <c r="E1339" s="19" t="str">
        <f>IFERROR(__xludf.DUMMYFUNCTION("""COMPUTED_VALUE"""),"SITIO RFI")</f>
        <v>SITIO RFI</v>
      </c>
      <c r="F1339" s="19"/>
      <c r="G1339" s="19" t="str">
        <f>IFERROR(__xludf.DUMMYFUNCTION("""COMPUTED_VALUE"""),"x")</f>
        <v>x</v>
      </c>
      <c r="H1339" s="19" t="str">
        <f>IFERROR(__xludf.DUMMYFUNCTION("""COMPUTED_VALUE"""),"x")</f>
        <v>x</v>
      </c>
      <c r="I1339" s="19" t="str">
        <f>IFERROR(__xludf.DUMMYFUNCTION("""COMPUTED_VALUE"""),"x")</f>
        <v>x</v>
      </c>
      <c r="J1339" s="20" t="str">
        <f>IFERROR(__xludf.DUMMYFUNCTION("""COMPUTED_VALUE"""),"x")</f>
        <v>x</v>
      </c>
      <c r="K1339" s="19" t="str">
        <f>IFERROR(__xludf.DUMMYFUNCTION("""COMPUTED_VALUE"""),"x")</f>
        <v>x</v>
      </c>
      <c r="L1339" s="20" t="str">
        <f>IFERROR(__xludf.DUMMYFUNCTION("""COMPUTED_VALUE"""),"x")</f>
        <v>x</v>
      </c>
      <c r="M1339" s="19" t="str">
        <f>IFERROR(__xludf.DUMMYFUNCTION("""COMPUTED_VALUE"""),"PCM")</f>
        <v>PCM</v>
      </c>
      <c r="N1339" s="19" t="str">
        <f>IFERROR(__xludf.DUMMYFUNCTION("""COMPUTED_VALUE"""),"PRIORIDAD 1 Q3 2023 OCTUBRE")</f>
        <v>PRIORIDAD 1 Q3 2023 OCTUBRE</v>
      </c>
    </row>
    <row r="1340" ht="15.75" customHeight="1">
      <c r="A1340" s="19" t="str">
        <f>IFERROR(__xludf.DUMMYFUNCTION("""COMPUTED_VALUE"""),"AB_9758")</f>
        <v>AB_9758</v>
      </c>
      <c r="B1340" s="19" t="str">
        <f>IFERROR(__xludf.DUMMYFUNCTION("""COMPUTED_VALUE"""),"AB_9758_A")</f>
        <v>AB_9758_A</v>
      </c>
      <c r="C1340" s="19" t="str">
        <f>IFERROR(__xludf.DUMMYFUNCTION("""COMPUTED_VALUE"""),"VA9758")</f>
        <v>VA9758</v>
      </c>
      <c r="D1340" s="19" t="str">
        <f>IFERROR(__xludf.DUMMYFUNCTION("""COMPUTED_VALUE"""),"Casas Viejas de Longotoma")</f>
        <v>Casas Viejas de Longotoma</v>
      </c>
      <c r="E1340" s="19" t="str">
        <f>IFERROR(__xludf.DUMMYFUNCTION("""COMPUTED_VALUE"""),"SITIO RFI")</f>
        <v>SITIO RFI</v>
      </c>
      <c r="F1340" s="19"/>
      <c r="G1340" s="19" t="str">
        <f>IFERROR(__xludf.DUMMYFUNCTION("""COMPUTED_VALUE"""),"x")</f>
        <v>x</v>
      </c>
      <c r="H1340" s="19" t="str">
        <f>IFERROR(__xludf.DUMMYFUNCTION("""COMPUTED_VALUE"""),"x")</f>
        <v>x</v>
      </c>
      <c r="I1340" s="19" t="str">
        <f>IFERROR(__xludf.DUMMYFUNCTION("""COMPUTED_VALUE"""),"x")</f>
        <v>x</v>
      </c>
      <c r="J1340" s="20" t="str">
        <f>IFERROR(__xludf.DUMMYFUNCTION("""COMPUTED_VALUE"""),"x")</f>
        <v>x</v>
      </c>
      <c r="K1340" s="19" t="str">
        <f>IFERROR(__xludf.DUMMYFUNCTION("""COMPUTED_VALUE"""),"x")</f>
        <v>x</v>
      </c>
      <c r="L1340" s="20" t="str">
        <f>IFERROR(__xludf.DUMMYFUNCTION("""COMPUTED_VALUE"""),"x")</f>
        <v>x</v>
      </c>
      <c r="M1340" s="19" t="str">
        <f>IFERROR(__xludf.DUMMYFUNCTION("""COMPUTED_VALUE"""),"LLOO")</f>
        <v>LLOO</v>
      </c>
      <c r="N1340" s="19" t="str">
        <f>IFERROR(__xludf.DUMMYFUNCTION("""COMPUTED_VALUE"""),"PRIORIDAD 1 Q3 2023 OCTUBRE")</f>
        <v>PRIORIDAD 1 Q3 2023 OCTUBRE</v>
      </c>
    </row>
    <row r="1341" ht="15.75" customHeight="1">
      <c r="A1341" s="19" t="str">
        <f>IFERROR(__xludf.DUMMYFUNCTION("""COMPUTED_VALUE"""),"AB_9762")</f>
        <v>AB_9762</v>
      </c>
      <c r="B1341" s="19" t="str">
        <f>IFERROR(__xludf.DUMMYFUNCTION("""COMPUTED_VALUE"""),"AB_9762_B")</f>
        <v>AB_9762_B</v>
      </c>
      <c r="C1341" s="19" t="str">
        <f>IFERROR(__xludf.DUMMYFUNCTION("""COMPUTED_VALUE"""),"VA9762")</f>
        <v>VA9762</v>
      </c>
      <c r="D1341" s="19" t="str">
        <f>IFERROR(__xludf.DUMMYFUNCTION("""COMPUTED_VALUE"""),"Las Puertas Cabildo")</f>
        <v>Las Puertas Cabildo</v>
      </c>
      <c r="E1341" s="19" t="str">
        <f>IFERROR(__xludf.DUMMYFUNCTION("""COMPUTED_VALUE"""),"SITIO RFI")</f>
        <v>SITIO RFI</v>
      </c>
      <c r="F1341" s="19"/>
      <c r="G1341" s="19" t="str">
        <f>IFERROR(__xludf.DUMMYFUNCTION("""COMPUTED_VALUE"""),"x")</f>
        <v>x</v>
      </c>
      <c r="H1341" s="19" t="str">
        <f>IFERROR(__xludf.DUMMYFUNCTION("""COMPUTED_VALUE"""),"x")</f>
        <v>x</v>
      </c>
      <c r="I1341" s="19" t="str">
        <f>IFERROR(__xludf.DUMMYFUNCTION("""COMPUTED_VALUE"""),"x")</f>
        <v>x</v>
      </c>
      <c r="J1341" s="20" t="str">
        <f>IFERROR(__xludf.DUMMYFUNCTION("""COMPUTED_VALUE"""),"x")</f>
        <v>x</v>
      </c>
      <c r="K1341" s="19" t="str">
        <f>IFERROR(__xludf.DUMMYFUNCTION("""COMPUTED_VALUE"""),"x")</f>
        <v>x</v>
      </c>
      <c r="L1341" s="20" t="str">
        <f>IFERROR(__xludf.DUMMYFUNCTION("""COMPUTED_VALUE"""),"x")</f>
        <v>x</v>
      </c>
      <c r="M1341" s="19" t="str">
        <f>IFERROR(__xludf.DUMMYFUNCTION("""COMPUTED_VALUE"""),"PCM")</f>
        <v>PCM</v>
      </c>
      <c r="N1341" s="19" t="str">
        <f>IFERROR(__xludf.DUMMYFUNCTION("""COMPUTED_VALUE"""),"PRIORIDAD 1 Q3 2023 OCTUBRE")</f>
        <v>PRIORIDAD 1 Q3 2023 OCTUBRE</v>
      </c>
    </row>
    <row r="1342" ht="15.75" customHeight="1">
      <c r="A1342" s="19" t="str">
        <f>IFERROR(__xludf.DUMMYFUNCTION("""COMPUTED_VALUE"""),"AB_9775")</f>
        <v>AB_9775</v>
      </c>
      <c r="B1342" s="19" t="str">
        <f>IFERROR(__xludf.DUMMYFUNCTION("""COMPUTED_VALUE"""),"AB_9775_E")</f>
        <v>AB_9775_E</v>
      </c>
      <c r="C1342" s="19" t="str">
        <f>IFERROR(__xludf.DUMMYFUNCTION("""COMPUTED_VALUE"""),"VA9775")</f>
        <v>VA9775</v>
      </c>
      <c r="D1342" s="19" t="str">
        <f>IFERROR(__xludf.DUMMYFUNCTION("""COMPUTED_VALUE"""),"Los Patos Putaendo")</f>
        <v>Los Patos Putaendo</v>
      </c>
      <c r="E1342" s="19" t="str">
        <f>IFERROR(__xludf.DUMMYFUNCTION("""COMPUTED_VALUE"""),"SITIO RFI")</f>
        <v>SITIO RFI</v>
      </c>
      <c r="F1342" s="19"/>
      <c r="G1342" s="19" t="str">
        <f>IFERROR(__xludf.DUMMYFUNCTION("""COMPUTED_VALUE"""),"x")</f>
        <v>x</v>
      </c>
      <c r="H1342" s="19" t="str">
        <f>IFERROR(__xludf.DUMMYFUNCTION("""COMPUTED_VALUE"""),"x")</f>
        <v>x</v>
      </c>
      <c r="I1342" s="19" t="str">
        <f>IFERROR(__xludf.DUMMYFUNCTION("""COMPUTED_VALUE"""),"x")</f>
        <v>x</v>
      </c>
      <c r="J1342" s="20" t="str">
        <f>IFERROR(__xludf.DUMMYFUNCTION("""COMPUTED_VALUE"""),"x")</f>
        <v>x</v>
      </c>
      <c r="K1342" s="19" t="str">
        <f>IFERROR(__xludf.DUMMYFUNCTION("""COMPUTED_VALUE"""),"x")</f>
        <v>x</v>
      </c>
      <c r="L1342" s="20" t="str">
        <f>IFERROR(__xludf.DUMMYFUNCTION("""COMPUTED_VALUE"""),"x")</f>
        <v>x</v>
      </c>
      <c r="M1342" s="19" t="str">
        <f>IFERROR(__xludf.DUMMYFUNCTION("""COMPUTED_VALUE"""),"PCM")</f>
        <v>PCM</v>
      </c>
      <c r="N1342" s="19" t="str">
        <f>IFERROR(__xludf.DUMMYFUNCTION("""COMPUTED_VALUE"""),"PRIORIDAD 1 Q3 2023 OCTUBRE")</f>
        <v>PRIORIDAD 1 Q3 2023 OCTUBRE</v>
      </c>
    </row>
    <row r="1343" ht="15.75" customHeight="1">
      <c r="A1343" s="19" t="str">
        <f>IFERROR(__xludf.DUMMYFUNCTION("""COMPUTED_VALUE"""),"AB_9918")</f>
        <v>AB_9918</v>
      </c>
      <c r="B1343" s="19" t="str">
        <f>IFERROR(__xludf.DUMMYFUNCTION("""COMPUTED_VALUE"""),"AB_9918_B")</f>
        <v>AB_9918_B</v>
      </c>
      <c r="C1343" s="19" t="str">
        <f>IFERROR(__xludf.DUMMYFUNCTION("""COMPUTED_VALUE"""),"VA9918")</f>
        <v>VA9918</v>
      </c>
      <c r="D1343" s="19" t="str">
        <f>IFERROR(__xludf.DUMMYFUNCTION("""COMPUTED_VALUE"""),"Primera Quebrada Ruta 60H")</f>
        <v>Primera Quebrada Ruta 60H</v>
      </c>
      <c r="E1343" s="19" t="str">
        <f>IFERROR(__xludf.DUMMYFUNCTION("""COMPUTED_VALUE"""),"SITIO RFI")</f>
        <v>SITIO RFI</v>
      </c>
      <c r="F1343" s="19"/>
      <c r="G1343" s="19" t="str">
        <f>IFERROR(__xludf.DUMMYFUNCTION("""COMPUTED_VALUE"""),"x")</f>
        <v>x</v>
      </c>
      <c r="H1343" s="19" t="str">
        <f>IFERROR(__xludf.DUMMYFUNCTION("""COMPUTED_VALUE"""),"x")</f>
        <v>x</v>
      </c>
      <c r="I1343" s="19" t="str">
        <f>IFERROR(__xludf.DUMMYFUNCTION("""COMPUTED_VALUE"""),"x")</f>
        <v>x</v>
      </c>
      <c r="J1343" s="20" t="str">
        <f>IFERROR(__xludf.DUMMYFUNCTION("""COMPUTED_VALUE"""),"x")</f>
        <v>x</v>
      </c>
      <c r="K1343" s="19" t="str">
        <f>IFERROR(__xludf.DUMMYFUNCTION("""COMPUTED_VALUE"""),"x")</f>
        <v>x</v>
      </c>
      <c r="L1343" s="20" t="str">
        <f>IFERROR(__xludf.DUMMYFUNCTION("""COMPUTED_VALUE"""),"x")</f>
        <v>x</v>
      </c>
      <c r="M1343" s="19" t="str">
        <f>IFERROR(__xludf.DUMMYFUNCTION("""COMPUTED_VALUE"""),"PCM")</f>
        <v>PCM</v>
      </c>
      <c r="N1343" s="19" t="str">
        <f>IFERROR(__xludf.DUMMYFUNCTION("""COMPUTED_VALUE"""),"PRIORIDAD 1 Q3 2023 OCTUBRE")</f>
        <v>PRIORIDAD 1 Q3 2023 OCTUBRE</v>
      </c>
    </row>
    <row r="1344" ht="15.75" customHeight="1">
      <c r="A1344" s="19" t="str">
        <f>IFERROR(__xludf.DUMMYFUNCTION("""COMPUTED_VALUE"""),"AB_9875")</f>
        <v>AB_9875</v>
      </c>
      <c r="B1344" s="19" t="str">
        <f>IFERROR(__xludf.DUMMYFUNCTION("""COMPUTED_VALUE"""),"AB_9875_A")</f>
        <v>AB_9875_A</v>
      </c>
      <c r="C1344" s="19" t="str">
        <f>IFERROR(__xludf.DUMMYFUNCTION("""COMPUTED_VALUE"""),"LR9875")</f>
        <v>LR9875</v>
      </c>
      <c r="D1344" s="19" t="str">
        <f>IFERROR(__xludf.DUMMYFUNCTION("""COMPUTED_VALUE"""),"LLOO Puringue Pobre")</f>
        <v>LLOO Puringue Pobre</v>
      </c>
      <c r="E1344" s="19" t="str">
        <f>IFERROR(__xludf.DUMMYFUNCTION("""COMPUTED_VALUE"""),"SITIO RFI")</f>
        <v>SITIO RFI</v>
      </c>
      <c r="F1344" s="19" t="str">
        <f>IFERROR(__xludf.DUMMYFUNCTION("""COMPUTED_VALUE"""),"CIERRE")</f>
        <v>CIERRE</v>
      </c>
      <c r="G1344" s="19" t="str">
        <f>IFERROR(__xludf.DUMMYFUNCTION("""COMPUTED_VALUE"""),"AS42")</f>
        <v>AS42</v>
      </c>
      <c r="H1344" s="19" t="str">
        <f>IFERROR(__xludf.DUMMYFUNCTION("""COMPUTED_VALUE"""),"MER")</f>
        <v>MER</v>
      </c>
      <c r="I1344" s="19" t="str">
        <f>IFERROR(__xludf.DUMMYFUNCTION("""COMPUTED_VALUE"""),"Entregada")</f>
        <v>Entregada</v>
      </c>
      <c r="J1344" s="20">
        <f>IFERROR(__xludf.DUMMYFUNCTION("""COMPUTED_VALUE"""),44722.0)</f>
        <v>44722</v>
      </c>
      <c r="K1344" s="19" t="str">
        <f>IFERROR(__xludf.DUMMYFUNCTION("""COMPUTED_VALUE"""),"Entregada")</f>
        <v>Entregada</v>
      </c>
      <c r="L1344" s="20">
        <f>IFERROR(__xludf.DUMMYFUNCTION("""COMPUTED_VALUE"""),44742.0)</f>
        <v>44742</v>
      </c>
      <c r="M1344" s="19" t="str">
        <f>IFERROR(__xludf.DUMMYFUNCTION("""COMPUTED_VALUE"""),"LLOO")</f>
        <v>LLOO</v>
      </c>
      <c r="N1344" s="19" t="str">
        <f>IFERROR(__xludf.DUMMYFUNCTION("""COMPUTED_VALUE"""),"PRIORIDAD 1 Q3 2023 OCTUBRE")</f>
        <v>PRIORIDAD 1 Q3 2023 OCTUBRE</v>
      </c>
    </row>
    <row r="1345" ht="15.75" customHeight="1">
      <c r="A1345" s="19" t="str">
        <f>IFERROR(__xludf.DUMMYFUNCTION("""COMPUTED_VALUE"""),"AB_0156")</f>
        <v>AB_0156</v>
      </c>
      <c r="B1345" s="19" t="str">
        <f>IFERROR(__xludf.DUMMYFUNCTION("""COMPUTED_VALUE"""),"AB_0156_A")</f>
        <v>AB_0156_A</v>
      </c>
      <c r="C1345" s="19" t="str">
        <f>IFERROR(__xludf.DUMMYFUNCTION("""COMPUTED_VALUE"""),"AN0156")</f>
        <v>AN0156</v>
      </c>
      <c r="D1345" s="19" t="str">
        <f>IFERROR(__xludf.DUMMYFUNCTION("""COMPUTED_VALUE"""),"Minera Escondida Despacho")</f>
        <v>Minera Escondida Despacho</v>
      </c>
      <c r="E1345" s="19" t="str">
        <f>IFERROR(__xludf.DUMMYFUNCTION("""COMPUTED_VALUE"""),"SITIO PENDIENTE")</f>
        <v>SITIO PENDIENTE</v>
      </c>
      <c r="F1345" s="19"/>
      <c r="G1345" s="19" t="str">
        <f>IFERROR(__xludf.DUMMYFUNCTION("""COMPUTED_VALUE"""),"x")</f>
        <v>x</v>
      </c>
      <c r="H1345" s="19" t="str">
        <f>IFERROR(__xludf.DUMMYFUNCTION("""COMPUTED_VALUE"""),"x")</f>
        <v>x</v>
      </c>
      <c r="I1345" s="19" t="str">
        <f>IFERROR(__xludf.DUMMYFUNCTION("""COMPUTED_VALUE"""),"x")</f>
        <v>x</v>
      </c>
      <c r="J1345" s="20" t="str">
        <f>IFERROR(__xludf.DUMMYFUNCTION("""COMPUTED_VALUE"""),"x")</f>
        <v>x</v>
      </c>
      <c r="K1345" s="19" t="str">
        <f>IFERROR(__xludf.DUMMYFUNCTION("""COMPUTED_VALUE"""),"x")</f>
        <v>x</v>
      </c>
      <c r="L1345" s="20" t="str">
        <f>IFERROR(__xludf.DUMMYFUNCTION("""COMPUTED_VALUE"""),"x")</f>
        <v>x</v>
      </c>
      <c r="M1345" s="19" t="str">
        <f>IFERROR(__xludf.DUMMYFUNCTION("""COMPUTED_VALUE"""),"PP")</f>
        <v>PP</v>
      </c>
      <c r="N1345" s="19" t="str">
        <f>IFERROR(__xludf.DUMMYFUNCTION("""COMPUTED_VALUE"""),"PRIORIDAD 2 Q4 2023 DICIEMBRE")</f>
        <v>PRIORIDAD 2 Q4 2023 DICIEMBRE</v>
      </c>
    </row>
    <row r="1346" ht="15.75" customHeight="1">
      <c r="A1346" s="19" t="str">
        <f>IFERROR(__xludf.DUMMYFUNCTION("""COMPUTED_VALUE"""),"AB_0900")</f>
        <v>AB_0900</v>
      </c>
      <c r="B1346" s="19" t="str">
        <f>IFERROR(__xludf.DUMMYFUNCTION("""COMPUTED_VALUE"""),"AB_0900_L")</f>
        <v>AB_0900_L</v>
      </c>
      <c r="C1346" s="19" t="str">
        <f>IFERROR(__xludf.DUMMYFUNCTION("""COMPUTED_VALUE"""),"AN0900")</f>
        <v>AN0900</v>
      </c>
      <c r="D1346" s="19" t="str">
        <f>IFERROR(__xludf.DUMMYFUNCTION("""COMPUTED_VALUE"""),"Mejillones Parque Industrial")</f>
        <v>Mejillones Parque Industrial</v>
      </c>
      <c r="E1346" s="19" t="str">
        <f>IFERROR(__xludf.DUMMYFUNCTION("""COMPUTED_VALUE"""),"SITIO PENDIENTE")</f>
        <v>SITIO PENDIENTE</v>
      </c>
      <c r="F1346" s="19"/>
      <c r="G1346" s="19" t="str">
        <f>IFERROR(__xludf.DUMMYFUNCTION("""COMPUTED_VALUE"""),"AS48")</f>
        <v>AS48</v>
      </c>
      <c r="H1346" s="19" t="str">
        <f>IFERROR(__xludf.DUMMYFUNCTION("""COMPUTED_VALUE"""),"COMPRAS")</f>
        <v>COMPRAS</v>
      </c>
      <c r="I1346" s="19"/>
      <c r="J1346" s="19"/>
      <c r="K1346" s="19"/>
      <c r="L1346" s="19"/>
      <c r="M1346" s="19" t="str">
        <f>IFERROR(__xludf.DUMMYFUNCTION("""COMPUTED_VALUE"""),"PCM")</f>
        <v>PCM</v>
      </c>
      <c r="N1346" s="19" t="str">
        <f>IFERROR(__xludf.DUMMYFUNCTION("""COMPUTED_VALUE"""),"PRIORIDAD 2 Q4 2023 DICIEMBRE")</f>
        <v>PRIORIDAD 2 Q4 2023 DICIEMBRE</v>
      </c>
    </row>
    <row r="1347" ht="15.75" customHeight="1">
      <c r="A1347" s="19" t="str">
        <f>IFERROR(__xludf.DUMMYFUNCTION("""COMPUTED_VALUE"""),"AB_10000")</f>
        <v>AB_10000</v>
      </c>
      <c r="B1347" s="19" t="str">
        <f>IFERROR(__xludf.DUMMYFUNCTION("""COMPUTED_VALUE"""),"AB_10000_B")</f>
        <v>AB_10000_B</v>
      </c>
      <c r="C1347" s="19" t="str">
        <f>IFERROR(__xludf.DUMMYFUNCTION("""COMPUTED_VALUE"""),"AN10000")</f>
        <v>AN10000</v>
      </c>
      <c r="D1347" s="19" t="str">
        <f>IFERROR(__xludf.DUMMYFUNCTION("""COMPUTED_VALUE"""),"Las Brisas del Padre Hurtado")</f>
        <v>Las Brisas del Padre Hurtado</v>
      </c>
      <c r="E1347" s="19" t="str">
        <f>IFERROR(__xludf.DUMMYFUNCTION("""COMPUTED_VALUE"""),"SITIO PENDIENTE")</f>
        <v>SITIO PENDIENTE</v>
      </c>
      <c r="F1347" s="19"/>
      <c r="G1347" s="19" t="str">
        <f>IFERROR(__xludf.DUMMYFUNCTION("""COMPUTED_VALUE"""),"x")</f>
        <v>x</v>
      </c>
      <c r="H1347" s="19" t="str">
        <f>IFERROR(__xludf.DUMMYFUNCTION("""COMPUTED_VALUE"""),"x")</f>
        <v>x</v>
      </c>
      <c r="I1347" s="19" t="str">
        <f>IFERROR(__xludf.DUMMYFUNCTION("""COMPUTED_VALUE"""),"x")</f>
        <v>x</v>
      </c>
      <c r="J1347" s="20" t="str">
        <f>IFERROR(__xludf.DUMMYFUNCTION("""COMPUTED_VALUE"""),"x")</f>
        <v>x</v>
      </c>
      <c r="K1347" s="19" t="str">
        <f>IFERROR(__xludf.DUMMYFUNCTION("""COMPUTED_VALUE"""),"x")</f>
        <v>x</v>
      </c>
      <c r="L1347" s="20" t="str">
        <f>IFERROR(__xludf.DUMMYFUNCTION("""COMPUTED_VALUE"""),"x")</f>
        <v>x</v>
      </c>
      <c r="M1347" s="19" t="str">
        <f>IFERROR(__xludf.DUMMYFUNCTION("""COMPUTED_VALUE"""),"PP")</f>
        <v>PP</v>
      </c>
      <c r="N1347" s="19" t="str">
        <f>IFERROR(__xludf.DUMMYFUNCTION("""COMPUTED_VALUE"""),"PRIORIDAD 2 Q4 2023 DICIEMBRE")</f>
        <v>PRIORIDAD 2 Q4 2023 DICIEMBRE</v>
      </c>
    </row>
    <row r="1348" ht="15.75" customHeight="1">
      <c r="A1348" s="19" t="str">
        <f>IFERROR(__xludf.DUMMYFUNCTION("""COMPUTED_VALUE"""),"AB_10001")</f>
        <v>AB_10001</v>
      </c>
      <c r="B1348" s="19" t="str">
        <f>IFERROR(__xludf.DUMMYFUNCTION("""COMPUTED_VALUE"""),"AB_10001_E")</f>
        <v>AB_10001_E</v>
      </c>
      <c r="C1348" s="19" t="str">
        <f>IFERROR(__xludf.DUMMYFUNCTION("""COMPUTED_VALUE"""),"AN10001")</f>
        <v>AN10001</v>
      </c>
      <c r="D1348" s="19" t="str">
        <f>IFERROR(__xludf.DUMMYFUNCTION("""COMPUTED_VALUE"""),"Punta Atala")</f>
        <v>Punta Atala</v>
      </c>
      <c r="E1348" s="19" t="str">
        <f>IFERROR(__xludf.DUMMYFUNCTION("""COMPUTED_VALUE"""),"SITIO ASIGNADO")</f>
        <v>SITIO ASIGNADO</v>
      </c>
      <c r="F1348" s="19" t="str">
        <f>IFERROR(__xludf.DUMMYFUNCTION("""COMPUTED_VALUE"""),"VISITA")</f>
        <v>VISITA</v>
      </c>
      <c r="G1348" s="19" t="str">
        <f>IFERROR(__xludf.DUMMYFUNCTION("""COMPUTED_VALUE"""),"CV48")</f>
        <v>CV48</v>
      </c>
      <c r="H1348" s="19" t="str">
        <f>IFERROR(__xludf.DUMMYFUNCTION("""COMPUTED_VALUE"""),"MER")</f>
        <v>MER</v>
      </c>
      <c r="I1348" s="19" t="str">
        <f>IFERROR(__xludf.DUMMYFUNCTION("""COMPUTED_VALUE"""),"Terminada")</f>
        <v>Terminada</v>
      </c>
      <c r="J1348" s="20">
        <f>IFERROR(__xludf.DUMMYFUNCTION("""COMPUTED_VALUE"""),45051.0)</f>
        <v>45051</v>
      </c>
      <c r="K1348" s="19" t="str">
        <f>IFERROR(__xludf.DUMMYFUNCTION("""COMPUTED_VALUE"""),"Por pintar ")</f>
        <v>Por pintar </v>
      </c>
      <c r="L1348" s="20">
        <f>IFERROR(__xludf.DUMMYFUNCTION("""COMPUTED_VALUE"""),45054.0)</f>
        <v>45054</v>
      </c>
      <c r="M1348" s="19" t="str">
        <f>IFERROR(__xludf.DUMMYFUNCTION("""COMPUTED_VALUE"""),"PCM")</f>
        <v>PCM</v>
      </c>
      <c r="N1348" s="19" t="str">
        <f>IFERROR(__xludf.DUMMYFUNCTION("""COMPUTED_VALUE"""),"PRIORIDAD 2 Q4 2023 DICIEMBRE")</f>
        <v>PRIORIDAD 2 Q4 2023 DICIEMBRE</v>
      </c>
    </row>
    <row r="1349" ht="15.75" customHeight="1">
      <c r="A1349" s="19" t="str">
        <f>IFERROR(__xludf.DUMMYFUNCTION("""COMPUTED_VALUE"""),"AB_10003")</f>
        <v>AB_10003</v>
      </c>
      <c r="B1349" s="19" t="str">
        <f>IFERROR(__xludf.DUMMYFUNCTION("""COMPUTED_VALUE"""),"AB_10003_A")</f>
        <v>AB_10003_A</v>
      </c>
      <c r="C1349" s="19" t="str">
        <f>IFERROR(__xludf.DUMMYFUNCTION("""COMPUTED_VALUE"""),"AN10003")</f>
        <v>AN10003</v>
      </c>
      <c r="D1349" s="19" t="str">
        <f>IFERROR(__xludf.DUMMYFUNCTION("""COMPUTED_VALUE"""),"Punta Tames")</f>
        <v>Punta Tames</v>
      </c>
      <c r="E1349" s="19" t="str">
        <f>IFERROR(__xludf.DUMMYFUNCTION("""COMPUTED_VALUE"""),"SITIO RFI")</f>
        <v>SITIO RFI</v>
      </c>
      <c r="F1349" s="19" t="str">
        <f>IFERROR(__xludf.DUMMYFUNCTION("""COMPUTED_VALUE"""),"RFI")</f>
        <v>RFI</v>
      </c>
      <c r="G1349" s="19" t="str">
        <f>IFERROR(__xludf.DUMMYFUNCTION("""COMPUTED_VALUE"""),"AS42")</f>
        <v>AS42</v>
      </c>
      <c r="H1349" s="19" t="str">
        <f>IFERROR(__xludf.DUMMYFUNCTION("""COMPUTED_VALUE"""),"DEITEL")</f>
        <v>DEITEL</v>
      </c>
      <c r="I1349" s="19" t="str">
        <f>IFERROR(__xludf.DUMMYFUNCTION("""COMPUTED_VALUE"""),"Entregada")</f>
        <v>Entregada</v>
      </c>
      <c r="J1349" s="20">
        <f>IFERROR(__xludf.DUMMYFUNCTION("""COMPUTED_VALUE"""),44854.0)</f>
        <v>44854</v>
      </c>
      <c r="K1349" s="19" t="str">
        <f>IFERROR(__xludf.DUMMYFUNCTION("""COMPUTED_VALUE"""),"Entregada")</f>
        <v>Entregada</v>
      </c>
      <c r="L1349" s="20">
        <f>IFERROR(__xludf.DUMMYFUNCTION("""COMPUTED_VALUE"""),44854.0)</f>
        <v>44854</v>
      </c>
      <c r="M1349" s="19" t="str">
        <f>IFERROR(__xludf.DUMMYFUNCTION("""COMPUTED_VALUE"""),"PP")</f>
        <v>PP</v>
      </c>
      <c r="N1349" s="19" t="str">
        <f>IFERROR(__xludf.DUMMYFUNCTION("""COMPUTED_VALUE"""),"PRIORIDAD 1 Q3 2023 OCTUBRE")</f>
        <v>PRIORIDAD 1 Q3 2023 OCTUBRE</v>
      </c>
    </row>
    <row r="1350" ht="15.75" customHeight="1">
      <c r="A1350" s="19" t="str">
        <f>IFERROR(__xludf.DUMMYFUNCTION("""COMPUTED_VALUE"""),"AB_10004")</f>
        <v>AB_10004</v>
      </c>
      <c r="B1350" s="19" t="str">
        <f>IFERROR(__xludf.DUMMYFUNCTION("""COMPUTED_VALUE"""),"AB_10004_B")</f>
        <v>AB_10004_B</v>
      </c>
      <c r="C1350" s="19" t="str">
        <f>IFERROR(__xludf.DUMMYFUNCTION("""COMPUTED_VALUE"""),"AN10004")</f>
        <v>AN10004</v>
      </c>
      <c r="D1350" s="19" t="str">
        <f>IFERROR(__xludf.DUMMYFUNCTION("""COMPUTED_VALUE"""),"Puerto Coloso")</f>
        <v>Puerto Coloso</v>
      </c>
      <c r="E1350" s="19" t="str">
        <f>IFERROR(__xludf.DUMMYFUNCTION("""COMPUTED_VALUE"""),"SITIO PENDIENTE")</f>
        <v>SITIO PENDIENTE</v>
      </c>
      <c r="F1350" s="19"/>
      <c r="G1350" s="19" t="str">
        <f>IFERROR(__xludf.DUMMYFUNCTION("""COMPUTED_VALUE"""),"AS30")</f>
        <v>AS30</v>
      </c>
      <c r="H1350" s="19" t="str">
        <f>IFERROR(__xludf.DUMMYFUNCTION("""COMPUTED_VALUE"""),"METALING")</f>
        <v>METALING</v>
      </c>
      <c r="I1350" s="19" t="str">
        <f>IFERROR(__xludf.DUMMYFUNCTION("""COMPUTED_VALUE"""),"Terminada")</f>
        <v>Terminada</v>
      </c>
      <c r="J1350" s="20">
        <f>IFERROR(__xludf.DUMMYFUNCTION("""COMPUTED_VALUE"""),44747.0)</f>
        <v>44747</v>
      </c>
      <c r="K1350" s="19" t="str">
        <f>IFERROR(__xludf.DUMMYFUNCTION("""COMPUTED_VALUE"""),"Terminada")</f>
        <v>Terminada</v>
      </c>
      <c r="L1350" s="20">
        <f>IFERROR(__xludf.DUMMYFUNCTION("""COMPUTED_VALUE"""),44778.0)</f>
        <v>44778</v>
      </c>
      <c r="M1350" s="19" t="str">
        <f>IFERROR(__xludf.DUMMYFUNCTION("""COMPUTED_VALUE"""),"PP")</f>
        <v>PP</v>
      </c>
      <c r="N1350" s="19" t="str">
        <f>IFERROR(__xludf.DUMMYFUNCTION("""COMPUTED_VALUE"""),"PRIORIDAD 2 Q4 2023 DICIEMBRE")</f>
        <v>PRIORIDAD 2 Q4 2023 DICIEMBRE</v>
      </c>
    </row>
    <row r="1351" ht="15.75" customHeight="1">
      <c r="A1351" s="19" t="str">
        <f>IFERROR(__xludf.DUMMYFUNCTION("""COMPUTED_VALUE"""),"AB_10005")</f>
        <v>AB_10005</v>
      </c>
      <c r="B1351" s="19" t="str">
        <f>IFERROR(__xludf.DUMMYFUNCTION("""COMPUTED_VALUE"""),"AB_10005_A")</f>
        <v>AB_10005_A</v>
      </c>
      <c r="C1351" s="19" t="str">
        <f>IFERROR(__xludf.DUMMYFUNCTION("""COMPUTED_VALUE"""),"AN10005")</f>
        <v>AN10005</v>
      </c>
      <c r="D1351" s="19" t="str">
        <f>IFERROR(__xludf.DUMMYFUNCTION("""COMPUTED_VALUE"""),"Punta Chileno")</f>
        <v>Punta Chileno</v>
      </c>
      <c r="E1351" s="19" t="str">
        <f>IFERROR(__xludf.DUMMYFUNCTION("""COMPUTED_VALUE"""),"SITIO EN CONSTRUCCION")</f>
        <v>SITIO EN CONSTRUCCION</v>
      </c>
      <c r="F1351" s="19" t="str">
        <f>IFERROR(__xludf.DUMMYFUNCTION("""COMPUTED_VALUE"""),"EXCAVACION")</f>
        <v>EXCAVACION</v>
      </c>
      <c r="G1351" s="19" t="str">
        <f>IFERROR(__xludf.DUMMYFUNCTION("""COMPUTED_VALUE"""),"CV30")</f>
        <v>CV30</v>
      </c>
      <c r="H1351" s="19" t="str">
        <f>IFERROR(__xludf.DUMMYFUNCTION("""COMPUTED_VALUE"""),"MER")</f>
        <v>MER</v>
      </c>
      <c r="I1351" s="19" t="str">
        <f>IFERROR(__xludf.DUMMYFUNCTION("""COMPUTED_VALUE"""),"Terminada")</f>
        <v>Terminada</v>
      </c>
      <c r="J1351" s="20">
        <f>IFERROR(__xludf.DUMMYFUNCTION("""COMPUTED_VALUE"""),45051.0)</f>
        <v>45051</v>
      </c>
      <c r="K1351" s="19" t="str">
        <f>IFERROR(__xludf.DUMMYFUNCTION("""COMPUTED_VALUE"""),"Por pintar ")</f>
        <v>Por pintar </v>
      </c>
      <c r="L1351" s="20">
        <f>IFERROR(__xludf.DUMMYFUNCTION("""COMPUTED_VALUE"""),45054.0)</f>
        <v>45054</v>
      </c>
      <c r="M1351" s="19" t="str">
        <f>IFERROR(__xludf.DUMMYFUNCTION("""COMPUTED_VALUE"""),"PP")</f>
        <v>PP</v>
      </c>
      <c r="N1351" s="19" t="str">
        <f>IFERROR(__xludf.DUMMYFUNCTION("""COMPUTED_VALUE"""),"PRIORIDAD 2 Q4 2023 DICIEMBRE")</f>
        <v>PRIORIDAD 2 Q4 2023 DICIEMBRE</v>
      </c>
    </row>
    <row r="1352" ht="15.75" customHeight="1">
      <c r="A1352" s="19" t="str">
        <f>IFERROR(__xludf.DUMMYFUNCTION("""COMPUTED_VALUE"""),"AB_10006")</f>
        <v>AB_10006</v>
      </c>
      <c r="B1352" s="19" t="str">
        <f>IFERROR(__xludf.DUMMYFUNCTION("""COMPUTED_VALUE"""),"AB_10006_B")</f>
        <v>AB_10006_B</v>
      </c>
      <c r="C1352" s="19" t="str">
        <f>IFERROR(__xludf.DUMMYFUNCTION("""COMPUTED_VALUE"""),"AN10006")</f>
        <v>AN10006</v>
      </c>
      <c r="D1352" s="19" t="str">
        <f>IFERROR(__xludf.DUMMYFUNCTION("""COMPUTED_VALUE"""),"Punta del Urcu")</f>
        <v>Punta del Urcu</v>
      </c>
      <c r="E1352" s="19" t="str">
        <f>IFERROR(__xludf.DUMMYFUNCTION("""COMPUTED_VALUE"""),"SITIO PENDIENTE")</f>
        <v>SITIO PENDIENTE</v>
      </c>
      <c r="F1352" s="19"/>
      <c r="G1352" s="19" t="str">
        <f>IFERROR(__xludf.DUMMYFUNCTION("""COMPUTED_VALUE"""),"MP R40")</f>
        <v>MP R40</v>
      </c>
      <c r="H1352" s="19" t="str">
        <f>IFERROR(__xludf.DUMMYFUNCTION("""COMPUTED_VALUE"""),"COMPRAS")</f>
        <v>COMPRAS</v>
      </c>
      <c r="I1352" s="19"/>
      <c r="J1352" s="19"/>
      <c r="K1352" s="19"/>
      <c r="L1352" s="19"/>
      <c r="M1352" s="19" t="str">
        <f>IFERROR(__xludf.DUMMYFUNCTION("""COMPUTED_VALUE"""),"PP")</f>
        <v>PP</v>
      </c>
      <c r="N1352" s="19" t="str">
        <f>IFERROR(__xludf.DUMMYFUNCTION("""COMPUTED_VALUE"""),"PRIORIDAD 2 Q4 2023 DICIEMBRE")</f>
        <v>PRIORIDAD 2 Q4 2023 DICIEMBRE</v>
      </c>
    </row>
    <row r="1353" ht="15.75" customHeight="1">
      <c r="A1353" s="19" t="str">
        <f>IFERROR(__xludf.DUMMYFUNCTION("""COMPUTED_VALUE"""),"AB_10007")</f>
        <v>AB_10007</v>
      </c>
      <c r="B1353" s="19" t="str">
        <f>IFERROR(__xludf.DUMMYFUNCTION("""COMPUTED_VALUE"""),"AB_10007_D")</f>
        <v>AB_10007_D</v>
      </c>
      <c r="C1353" s="19" t="str">
        <f>IFERROR(__xludf.DUMMYFUNCTION("""COMPUTED_VALUE"""),"AN10007")</f>
        <v>AN10007</v>
      </c>
      <c r="D1353" s="19" t="str">
        <f>IFERROR(__xludf.DUMMYFUNCTION("""COMPUTED_VALUE"""),"Aerodromo Punta Blanca")</f>
        <v>Aerodromo Punta Blanca</v>
      </c>
      <c r="E1353" s="19" t="str">
        <f>IFERROR(__xludf.DUMMYFUNCTION("""COMPUTED_VALUE"""),"SITIO PENDIENTE")</f>
        <v>SITIO PENDIENTE</v>
      </c>
      <c r="F1353" s="19"/>
      <c r="G1353" s="19" t="str">
        <f>IFERROR(__xludf.DUMMYFUNCTION("""COMPUTED_VALUE"""),"AS30")</f>
        <v>AS30</v>
      </c>
      <c r="H1353" s="19" t="str">
        <f>IFERROR(__xludf.DUMMYFUNCTION("""COMPUTED_VALUE"""),"METALING")</f>
        <v>METALING</v>
      </c>
      <c r="I1353" s="19" t="str">
        <f>IFERROR(__xludf.DUMMYFUNCTION("""COMPUTED_VALUE"""),"Terminada")</f>
        <v>Terminada</v>
      </c>
      <c r="J1353" s="20">
        <f>IFERROR(__xludf.DUMMYFUNCTION("""COMPUTED_VALUE"""),44736.0)</f>
        <v>44736</v>
      </c>
      <c r="K1353" s="19" t="str">
        <f>IFERROR(__xludf.DUMMYFUNCTION("""COMPUTED_VALUE"""),"Terminada")</f>
        <v>Terminada</v>
      </c>
      <c r="L1353" s="20">
        <f>IFERROR(__xludf.DUMMYFUNCTION("""COMPUTED_VALUE"""),44778.0)</f>
        <v>44778</v>
      </c>
      <c r="M1353" s="19" t="str">
        <f>IFERROR(__xludf.DUMMYFUNCTION("""COMPUTED_VALUE"""),"PP")</f>
        <v>PP</v>
      </c>
      <c r="N1353" s="19" t="str">
        <f>IFERROR(__xludf.DUMMYFUNCTION("""COMPUTED_VALUE"""),"PRIORIDAD 2 Q4 2023 DICIEMBRE")</f>
        <v>PRIORIDAD 2 Q4 2023 DICIEMBRE</v>
      </c>
    </row>
    <row r="1354" ht="15.75" customHeight="1">
      <c r="A1354" s="19" t="str">
        <f>IFERROR(__xludf.DUMMYFUNCTION("""COMPUTED_VALUE"""),"AB_10008")</f>
        <v>AB_10008</v>
      </c>
      <c r="B1354" s="19" t="str">
        <f>IFERROR(__xludf.DUMMYFUNCTION("""COMPUTED_VALUE"""),"AB_10008_B")</f>
        <v>AB_10008_B</v>
      </c>
      <c r="C1354" s="19" t="str">
        <f>IFERROR(__xludf.DUMMYFUNCTION("""COMPUTED_VALUE"""),"AN10008")</f>
        <v>AN10008</v>
      </c>
      <c r="D1354" s="19" t="str">
        <f>IFERROR(__xludf.DUMMYFUNCTION("""COMPUTED_VALUE"""),"Caleta de los Patos")</f>
        <v>Caleta de los Patos</v>
      </c>
      <c r="E1354" s="19" t="str">
        <f>IFERROR(__xludf.DUMMYFUNCTION("""COMPUTED_VALUE"""),"SITIO EN CONSTRUCCION")</f>
        <v>SITIO EN CONSTRUCCION</v>
      </c>
      <c r="F1354" s="19" t="str">
        <f>IFERROR(__xludf.DUMMYFUNCTION("""COMPUTED_VALUE"""),"EXCAVACION")</f>
        <v>EXCAVACION</v>
      </c>
      <c r="G1354" s="19" t="str">
        <f>IFERROR(__xludf.DUMMYFUNCTION("""COMPUTED_VALUE"""),"AS30")</f>
        <v>AS30</v>
      </c>
      <c r="H1354" s="19" t="str">
        <f>IFERROR(__xludf.DUMMYFUNCTION("""COMPUTED_VALUE"""),"METALING")</f>
        <v>METALING</v>
      </c>
      <c r="I1354" s="19" t="str">
        <f>IFERROR(__xludf.DUMMYFUNCTION("""COMPUTED_VALUE"""),"Terminada")</f>
        <v>Terminada</v>
      </c>
      <c r="J1354" s="20">
        <f>IFERROR(__xludf.DUMMYFUNCTION("""COMPUTED_VALUE"""),44747.0)</f>
        <v>44747</v>
      </c>
      <c r="K1354" s="19" t="str">
        <f>IFERROR(__xludf.DUMMYFUNCTION("""COMPUTED_VALUE"""),"Terminada")</f>
        <v>Terminada</v>
      </c>
      <c r="L1354" s="20">
        <f>IFERROR(__xludf.DUMMYFUNCTION("""COMPUTED_VALUE"""),44764.0)</f>
        <v>44764</v>
      </c>
      <c r="M1354" s="19" t="str">
        <f>IFERROR(__xludf.DUMMYFUNCTION("""COMPUTED_VALUE"""),"PP")</f>
        <v>PP</v>
      </c>
      <c r="N1354" s="19" t="str">
        <f>IFERROR(__xludf.DUMMYFUNCTION("""COMPUTED_VALUE"""),"PRIORIDAD 2 Q4 2023 DICIEMBRE")</f>
        <v>PRIORIDAD 2 Q4 2023 DICIEMBRE</v>
      </c>
    </row>
    <row r="1355" ht="15.75" customHeight="1">
      <c r="A1355" s="19" t="str">
        <f>IFERROR(__xludf.DUMMYFUNCTION("""COMPUTED_VALUE"""),"AB_10009")</f>
        <v>AB_10009</v>
      </c>
      <c r="B1355" s="19" t="str">
        <f>IFERROR(__xludf.DUMMYFUNCTION("""COMPUTED_VALUE"""),"AB_10009_A")</f>
        <v>AB_10009_A</v>
      </c>
      <c r="C1355" s="19" t="str">
        <f>IFERROR(__xludf.DUMMYFUNCTION("""COMPUTED_VALUE"""),"AN10009")</f>
        <v>AN10009</v>
      </c>
      <c r="D1355" s="19" t="str">
        <f>IFERROR(__xludf.DUMMYFUNCTION("""COMPUTED_VALUE"""),"Punta Cobija")</f>
        <v>Punta Cobija</v>
      </c>
      <c r="E1355" s="19" t="str">
        <f>IFERROR(__xludf.DUMMYFUNCTION("""COMPUTED_VALUE"""),"SITIO PENDIENTE")</f>
        <v>SITIO PENDIENTE</v>
      </c>
      <c r="F1355" s="19"/>
      <c r="G1355" s="19" t="str">
        <f>IFERROR(__xludf.DUMMYFUNCTION("""COMPUTED_VALUE"""),"MP R40")</f>
        <v>MP R40</v>
      </c>
      <c r="H1355" s="19" t="str">
        <f>IFERROR(__xludf.DUMMYFUNCTION("""COMPUTED_VALUE"""),"COMPRAS")</f>
        <v>COMPRAS</v>
      </c>
      <c r="I1355" s="19"/>
      <c r="J1355" s="19"/>
      <c r="K1355" s="19"/>
      <c r="L1355" s="19"/>
      <c r="M1355" s="19" t="str">
        <f>IFERROR(__xludf.DUMMYFUNCTION("""COMPUTED_VALUE"""),"PP")</f>
        <v>PP</v>
      </c>
      <c r="N1355" s="19" t="str">
        <f>IFERROR(__xludf.DUMMYFUNCTION("""COMPUTED_VALUE"""),"PRIORIDAD 2 Q4 2023 DICIEMBRE")</f>
        <v>PRIORIDAD 2 Q4 2023 DICIEMBRE</v>
      </c>
    </row>
    <row r="1356" ht="15.75" customHeight="1">
      <c r="A1356" s="19" t="str">
        <f>IFERROR(__xludf.DUMMYFUNCTION("""COMPUTED_VALUE"""),"AB_10011")</f>
        <v>AB_10011</v>
      </c>
      <c r="B1356" s="19" t="str">
        <f>IFERROR(__xludf.DUMMYFUNCTION("""COMPUTED_VALUE"""),"AB_10011_B")</f>
        <v>AB_10011_B</v>
      </c>
      <c r="C1356" s="19" t="str">
        <f>IFERROR(__xludf.DUMMYFUNCTION("""COMPUTED_VALUE"""),"AN10011")</f>
        <v>AN10011</v>
      </c>
      <c r="D1356" s="19" t="str">
        <f>IFERROR(__xludf.DUMMYFUNCTION("""COMPUTED_VALUE"""),"Peninsula de Mejillones")</f>
        <v>Peninsula de Mejillones</v>
      </c>
      <c r="E1356" s="19" t="str">
        <f>IFERROR(__xludf.DUMMYFUNCTION("""COMPUTED_VALUE"""),"DETENIDO SAC")</f>
        <v>DETENIDO SAC</v>
      </c>
      <c r="F1356" s="19"/>
      <c r="G1356" s="19" t="str">
        <f>IFERROR(__xludf.DUMMYFUNCTION("""COMPUTED_VALUE"""),"AS48")</f>
        <v>AS48</v>
      </c>
      <c r="H1356" s="19" t="str">
        <f>IFERROR(__xludf.DUMMYFUNCTION("""COMPUTED_VALUE"""),"METALING")</f>
        <v>METALING</v>
      </c>
      <c r="I1356" s="19" t="str">
        <f>IFERROR(__xludf.DUMMYFUNCTION("""COMPUTED_VALUE"""),"Terminada")</f>
        <v>Terminada</v>
      </c>
      <c r="J1356" s="20">
        <f>IFERROR(__xludf.DUMMYFUNCTION("""COMPUTED_VALUE"""),44883.0)</f>
        <v>44883</v>
      </c>
      <c r="K1356" s="19" t="str">
        <f>IFERROR(__xludf.DUMMYFUNCTION("""COMPUTED_VALUE"""),"Por pintar ")</f>
        <v>Por pintar </v>
      </c>
      <c r="L1356" s="20">
        <f>IFERROR(__xludf.DUMMYFUNCTION("""COMPUTED_VALUE"""),44978.0)</f>
        <v>44978</v>
      </c>
      <c r="M1356" s="19" t="str">
        <f>IFERROR(__xludf.DUMMYFUNCTION("""COMPUTED_VALUE"""),"PP")</f>
        <v>PP</v>
      </c>
      <c r="N1356" s="19" t="str">
        <f>IFERROR(__xludf.DUMMYFUNCTION("""COMPUTED_VALUE"""),"PRIORIDAD 3 Q1 2024 MARZO")</f>
        <v>PRIORIDAD 3 Q1 2024 MARZO</v>
      </c>
    </row>
    <row r="1357" ht="15.75" customHeight="1">
      <c r="A1357" s="19" t="str">
        <f>IFERROR(__xludf.DUMMYFUNCTION("""COMPUTED_VALUE"""),"AB_10012")</f>
        <v>AB_10012</v>
      </c>
      <c r="B1357" s="19" t="str">
        <f>IFERROR(__xludf.DUMMYFUNCTION("""COMPUTED_VALUE"""),"AB_10012_A")</f>
        <v>AB_10012_A</v>
      </c>
      <c r="C1357" s="19" t="str">
        <f>IFERROR(__xludf.DUMMYFUNCTION("""COMPUTED_VALUE"""),"AN10012")</f>
        <v>AN10012</v>
      </c>
      <c r="D1357" s="19" t="str">
        <f>IFERROR(__xludf.DUMMYFUNCTION("""COMPUTED_VALUE"""),"Embalse Talabres")</f>
        <v>Embalse Talabres</v>
      </c>
      <c r="E1357" s="19" t="str">
        <f>IFERROR(__xludf.DUMMYFUNCTION("""COMPUTED_VALUE"""),"SITIO RFC")</f>
        <v>SITIO RFC</v>
      </c>
      <c r="F1357" s="19"/>
      <c r="G1357" s="19" t="str">
        <f>IFERROR(__xludf.DUMMYFUNCTION("""COMPUTED_VALUE"""),"AS60")</f>
        <v>AS60</v>
      </c>
      <c r="H1357" s="19" t="str">
        <f>IFERROR(__xludf.DUMMYFUNCTION("""COMPUTED_VALUE"""),"JTI")</f>
        <v>JTI</v>
      </c>
      <c r="I1357" s="19" t="str">
        <f>IFERROR(__xludf.DUMMYFUNCTION("""COMPUTED_VALUE"""),"Asignada")</f>
        <v>Asignada</v>
      </c>
      <c r="J1357" s="20">
        <f>IFERROR(__xludf.DUMMYFUNCTION("""COMPUTED_VALUE"""),45156.0)</f>
        <v>45156</v>
      </c>
      <c r="K1357" s="19" t="str">
        <f>IFERROR(__xludf.DUMMYFUNCTION("""COMPUTED_VALUE"""),"Asignada")</f>
        <v>Asignada</v>
      </c>
      <c r="L1357" s="20">
        <f>IFERROR(__xludf.DUMMYFUNCTION("""COMPUTED_VALUE"""),45163.0)</f>
        <v>45163</v>
      </c>
      <c r="M1357" s="19" t="str">
        <f>IFERROR(__xludf.DUMMYFUNCTION("""COMPUTED_VALUE"""),"PP")</f>
        <v>PP</v>
      </c>
      <c r="N1357" s="19" t="str">
        <f>IFERROR(__xludf.DUMMYFUNCTION("""COMPUTED_VALUE"""),"PRIORIDAD 2 Q4 2023 DICIEMBRE")</f>
        <v>PRIORIDAD 2 Q4 2023 DICIEMBRE</v>
      </c>
    </row>
    <row r="1358" ht="15.75" customHeight="1">
      <c r="A1358" s="19" t="str">
        <f>IFERROR(__xludf.DUMMYFUNCTION("""COMPUTED_VALUE"""),"AB_10013")</f>
        <v>AB_10013</v>
      </c>
      <c r="B1358" s="19" t="str">
        <f>IFERROR(__xludf.DUMMYFUNCTION("""COMPUTED_VALUE"""),"AB_10013_B")</f>
        <v>AB_10013_B</v>
      </c>
      <c r="C1358" s="19" t="str">
        <f>IFERROR(__xludf.DUMMYFUNCTION("""COMPUTED_VALUE"""),"AN10013")</f>
        <v>AN10013</v>
      </c>
      <c r="D1358" s="19" t="str">
        <f>IFERROR(__xludf.DUMMYFUNCTION("""COMPUTED_VALUE"""),"Volcan La Poruña")</f>
        <v>Volcan La Poruña</v>
      </c>
      <c r="E1358" s="19" t="str">
        <f>IFERROR(__xludf.DUMMYFUNCTION("""COMPUTED_VALUE"""),"DETENIDO COMUNIDAD")</f>
        <v>DETENIDO COMUNIDAD</v>
      </c>
      <c r="F1358" s="19"/>
      <c r="G1358" s="19" t="str">
        <f>IFERROR(__xludf.DUMMYFUNCTION("""COMPUTED_VALUE"""),"AS60")</f>
        <v>AS60</v>
      </c>
      <c r="H1358" s="19" t="str">
        <f>IFERROR(__xludf.DUMMYFUNCTION("""COMPUTED_VALUE"""),"COMPRAS")</f>
        <v>COMPRAS</v>
      </c>
      <c r="I1358" s="19"/>
      <c r="J1358" s="20"/>
      <c r="K1358" s="19"/>
      <c r="L1358" s="20"/>
      <c r="M1358" s="19" t="str">
        <f>IFERROR(__xludf.DUMMYFUNCTION("""COMPUTED_VALUE"""),"PP")</f>
        <v>PP</v>
      </c>
      <c r="N1358" s="19" t="str">
        <f>IFERROR(__xludf.DUMMYFUNCTION("""COMPUTED_VALUE"""),"PRIORIDAD 2 Q4 2023 DICIEMBRE")</f>
        <v>PRIORIDAD 2 Q4 2023 DICIEMBRE</v>
      </c>
    </row>
    <row r="1359" ht="15.75" customHeight="1">
      <c r="A1359" s="19" t="str">
        <f>IFERROR(__xludf.DUMMYFUNCTION("""COMPUTED_VALUE"""),"AB_10014")</f>
        <v>AB_10014</v>
      </c>
      <c r="B1359" s="19" t="str">
        <f>IFERROR(__xludf.DUMMYFUNCTION("""COMPUTED_VALUE"""),"AB_10014_A")</f>
        <v>AB_10014_A</v>
      </c>
      <c r="C1359" s="19" t="str">
        <f>IFERROR(__xludf.DUMMYFUNCTION("""COMPUTED_VALUE"""),"AN10014")</f>
        <v>AN10014</v>
      </c>
      <c r="D1359" s="19" t="str">
        <f>IFERROR(__xludf.DUMMYFUNCTION("""COMPUTED_VALUE"""),"Cerro Puntilla de San Martin")</f>
        <v>Cerro Puntilla de San Martin</v>
      </c>
      <c r="E1359" s="19" t="str">
        <f>IFERROR(__xludf.DUMMYFUNCTION("""COMPUTED_VALUE"""),"EN VALIDACION COMPRAS")</f>
        <v>EN VALIDACION COMPRAS</v>
      </c>
      <c r="F1359" s="19"/>
      <c r="G1359" s="19" t="str">
        <f>IFERROR(__xludf.DUMMYFUNCTION("""COMPUTED_VALUE"""),"CV60")</f>
        <v>CV60</v>
      </c>
      <c r="H1359" s="19" t="str">
        <f>IFERROR(__xludf.DUMMYFUNCTION("""COMPUTED_VALUE"""),"INCOSERV")</f>
        <v>INCOSERV</v>
      </c>
      <c r="I1359" s="19" t="str">
        <f>IFERROR(__xludf.DUMMYFUNCTION("""COMPUTED_VALUE"""),"Terminada")</f>
        <v>Terminada</v>
      </c>
      <c r="J1359" s="20">
        <f>IFERROR(__xludf.DUMMYFUNCTION("""COMPUTED_VALUE"""),45034.0)</f>
        <v>45034</v>
      </c>
      <c r="K1359" s="19" t="str">
        <f>IFERROR(__xludf.DUMMYFUNCTION("""COMPUTED_VALUE"""),"Por pintar ")</f>
        <v>Por pintar </v>
      </c>
      <c r="L1359" s="20">
        <f>IFERROR(__xludf.DUMMYFUNCTION("""COMPUTED_VALUE"""),45107.0)</f>
        <v>45107</v>
      </c>
      <c r="M1359" s="19" t="str">
        <f>IFERROR(__xludf.DUMMYFUNCTION("""COMPUTED_VALUE"""),"PCM")</f>
        <v>PCM</v>
      </c>
      <c r="N1359" s="19" t="str">
        <f>IFERROR(__xludf.DUMMYFUNCTION("""COMPUTED_VALUE"""),"PRIORIDAD 1 Q3 2023 OCTUBRE")</f>
        <v>PRIORIDAD 1 Q3 2023 OCTUBRE</v>
      </c>
    </row>
    <row r="1360" ht="15.75" customHeight="1">
      <c r="A1360" s="19" t="str">
        <f>IFERROR(__xludf.DUMMYFUNCTION("""COMPUTED_VALUE"""),"AB_10015")</f>
        <v>AB_10015</v>
      </c>
      <c r="B1360" s="19" t="str">
        <f>IFERROR(__xludf.DUMMYFUNCTION("""COMPUTED_VALUE"""),"AB_10015_B")</f>
        <v>AB_10015_B</v>
      </c>
      <c r="C1360" s="19" t="str">
        <f>IFERROR(__xludf.DUMMYFUNCTION("""COMPUTED_VALUE"""),"AN10015")</f>
        <v>AN10015</v>
      </c>
      <c r="D1360" s="19" t="str">
        <f>IFERROR(__xludf.DUMMYFUNCTION("""COMPUTED_VALUE"""),"Planta El Abra")</f>
        <v>Planta El Abra</v>
      </c>
      <c r="E1360" s="19" t="str">
        <f>IFERROR(__xludf.DUMMYFUNCTION("""COMPUTED_VALUE"""),"SITIO EN CONSTRUCCION")</f>
        <v>SITIO EN CONSTRUCCION</v>
      </c>
      <c r="F1360" s="19" t="str">
        <f>IFERROR(__xludf.DUMMYFUNCTION("""COMPUTED_VALUE"""),"VISITA")</f>
        <v>VISITA</v>
      </c>
      <c r="G1360" s="19" t="str">
        <f>IFERROR(__xludf.DUMMYFUNCTION("""COMPUTED_VALUE"""),"AS60")</f>
        <v>AS60</v>
      </c>
      <c r="H1360" s="19" t="str">
        <f>IFERROR(__xludf.DUMMYFUNCTION("""COMPUTED_VALUE"""),"MER")</f>
        <v>MER</v>
      </c>
      <c r="I1360" s="19" t="str">
        <f>IFERROR(__xludf.DUMMYFUNCTION("""COMPUTED_VALUE"""),"Terminada")</f>
        <v>Terminada</v>
      </c>
      <c r="J1360" s="20">
        <f>IFERROR(__xludf.DUMMYFUNCTION("""COMPUTED_VALUE"""),44876.0)</f>
        <v>44876</v>
      </c>
      <c r="K1360" s="19" t="str">
        <f>IFERROR(__xludf.DUMMYFUNCTION("""COMPUTED_VALUE"""),"Por pintar ")</f>
        <v>Por pintar </v>
      </c>
      <c r="L1360" s="20">
        <f>IFERROR(__xludf.DUMMYFUNCTION("""COMPUTED_VALUE"""),44904.0)</f>
        <v>44904</v>
      </c>
      <c r="M1360" s="19" t="str">
        <f>IFERROR(__xludf.DUMMYFUNCTION("""COMPUTED_VALUE"""),"PP")</f>
        <v>PP</v>
      </c>
      <c r="N1360" s="19" t="str">
        <f>IFERROR(__xludf.DUMMYFUNCTION("""COMPUTED_VALUE"""),"PRIORIDAD 2 Q4 2023 DICIEMBRE")</f>
        <v>PRIORIDAD 2 Q4 2023 DICIEMBRE</v>
      </c>
    </row>
    <row r="1361" ht="15.75" customHeight="1">
      <c r="A1361" s="19" t="str">
        <f>IFERROR(__xludf.DUMMYFUNCTION("""COMPUTED_VALUE"""),"AB_10016")</f>
        <v>AB_10016</v>
      </c>
      <c r="B1361" s="19" t="str">
        <f>IFERROR(__xludf.DUMMYFUNCTION("""COMPUTED_VALUE"""),"AB_10016_A")</f>
        <v>AB_10016_A</v>
      </c>
      <c r="C1361" s="19" t="str">
        <f>IFERROR(__xludf.DUMMYFUNCTION("""COMPUTED_VALUE"""),"AN10016")</f>
        <v>AN10016</v>
      </c>
      <c r="D1361" s="19" t="str">
        <f>IFERROR(__xludf.DUMMYFUNCTION("""COMPUTED_VALUE"""),"Estacion San Pedro Ruta 21")</f>
        <v>Estacion San Pedro Ruta 21</v>
      </c>
      <c r="E1361" s="19" t="str">
        <f>IFERROR(__xludf.DUMMYFUNCTION("""COMPUTED_VALUE"""),"SITIO EN CONSTRUCCION")</f>
        <v>SITIO EN CONSTRUCCION</v>
      </c>
      <c r="F1361" s="19" t="str">
        <f>IFERROR(__xludf.DUMMYFUNCTION("""COMPUTED_VALUE"""),"VISITA")</f>
        <v>VISITA</v>
      </c>
      <c r="G1361" s="19" t="str">
        <f>IFERROR(__xludf.DUMMYFUNCTION("""COMPUTED_VALUE"""),"AS60")</f>
        <v>AS60</v>
      </c>
      <c r="H1361" s="19" t="str">
        <f>IFERROR(__xludf.DUMMYFUNCTION("""COMPUTED_VALUE"""),"MER")</f>
        <v>MER</v>
      </c>
      <c r="I1361" s="19" t="str">
        <f>IFERROR(__xludf.DUMMYFUNCTION("""COMPUTED_VALUE"""),"Terminada")</f>
        <v>Terminada</v>
      </c>
      <c r="J1361" s="20">
        <f>IFERROR(__xludf.DUMMYFUNCTION("""COMPUTED_VALUE"""),44876.0)</f>
        <v>44876</v>
      </c>
      <c r="K1361" s="19" t="str">
        <f>IFERROR(__xludf.DUMMYFUNCTION("""COMPUTED_VALUE"""),"Por pintar ")</f>
        <v>Por pintar </v>
      </c>
      <c r="L1361" s="20">
        <f>IFERROR(__xludf.DUMMYFUNCTION("""COMPUTED_VALUE"""),44904.0)</f>
        <v>44904</v>
      </c>
      <c r="M1361" s="19" t="str">
        <f>IFERROR(__xludf.DUMMYFUNCTION("""COMPUTED_VALUE"""),"PP")</f>
        <v>PP</v>
      </c>
      <c r="N1361" s="19" t="str">
        <f>IFERROR(__xludf.DUMMYFUNCTION("""COMPUTED_VALUE"""),"PRIORIDAD 2 Q4 2023 DICIEMBRE")</f>
        <v>PRIORIDAD 2 Q4 2023 DICIEMBRE</v>
      </c>
    </row>
    <row r="1362" ht="15.75" customHeight="1">
      <c r="A1362" s="19" t="str">
        <f>IFERROR(__xludf.DUMMYFUNCTION("""COMPUTED_VALUE"""),"AB_10017")</f>
        <v>AB_10017</v>
      </c>
      <c r="B1362" s="19" t="str">
        <f>IFERROR(__xludf.DUMMYFUNCTION("""COMPUTED_VALUE"""),"AB_10017_A")</f>
        <v>AB_10017_A</v>
      </c>
      <c r="C1362" s="19" t="str">
        <f>IFERROR(__xludf.DUMMYFUNCTION("""COMPUTED_VALUE"""),"AN10017")</f>
        <v>AN10017</v>
      </c>
      <c r="D1362" s="19" t="str">
        <f>IFERROR(__xludf.DUMMYFUNCTION("""COMPUTED_VALUE"""),"Estacion Polapi")</f>
        <v>Estacion Polapi</v>
      </c>
      <c r="E1362" s="19" t="str">
        <f>IFERROR(__xludf.DUMMYFUNCTION("""COMPUTED_VALUE"""),"SITIO EN CONSTRUCCION")</f>
        <v>SITIO EN CONSTRUCCION</v>
      </c>
      <c r="F1362" s="19" t="str">
        <f>IFERROR(__xludf.DUMMYFUNCTION("""COMPUTED_VALUE"""),"EMPLANTILLADO")</f>
        <v>EMPLANTILLADO</v>
      </c>
      <c r="G1362" s="19" t="str">
        <f>IFERROR(__xludf.DUMMYFUNCTION("""COMPUTED_VALUE"""),"AS60 (H)")</f>
        <v>AS60 (H)</v>
      </c>
      <c r="H1362" s="19" t="str">
        <f>IFERROR(__xludf.DUMMYFUNCTION("""COMPUTED_VALUE"""),"MER")</f>
        <v>MER</v>
      </c>
      <c r="I1362" s="19" t="str">
        <f>IFERROR(__xludf.DUMMYFUNCTION("""COMPUTED_VALUE"""),"Terminada")</f>
        <v>Terminada</v>
      </c>
      <c r="J1362" s="20">
        <f>IFERROR(__xludf.DUMMYFUNCTION("""COMPUTED_VALUE"""),45012.0)</f>
        <v>45012</v>
      </c>
      <c r="K1362" s="19" t="str">
        <f>IFERROR(__xludf.DUMMYFUNCTION("""COMPUTED_VALUE"""),"Por pintar ")</f>
        <v>Por pintar </v>
      </c>
      <c r="L1362" s="20">
        <f>IFERROR(__xludf.DUMMYFUNCTION("""COMPUTED_VALUE"""),45012.0)</f>
        <v>45012</v>
      </c>
      <c r="M1362" s="19" t="str">
        <f>IFERROR(__xludf.DUMMYFUNCTION("""COMPUTED_VALUE"""),"PP")</f>
        <v>PP</v>
      </c>
      <c r="N1362" s="19" t="str">
        <f>IFERROR(__xludf.DUMMYFUNCTION("""COMPUTED_VALUE"""),"PRIORIDAD 2 Q4 2023 DICIEMBRE")</f>
        <v>PRIORIDAD 2 Q4 2023 DICIEMBRE</v>
      </c>
    </row>
    <row r="1363" ht="15.75" customHeight="1">
      <c r="A1363" s="19" t="str">
        <f>IFERROR(__xludf.DUMMYFUNCTION("""COMPUTED_VALUE"""),"AB_10018")</f>
        <v>AB_10018</v>
      </c>
      <c r="B1363" s="19" t="str">
        <f>IFERROR(__xludf.DUMMYFUNCTION("""COMPUTED_VALUE"""),"AB_10018_A")</f>
        <v>AB_10018_A</v>
      </c>
      <c r="C1363" s="19" t="str">
        <f>IFERROR(__xludf.DUMMYFUNCTION("""COMPUTED_VALUE"""),"AN10018")</f>
        <v>AN10018</v>
      </c>
      <c r="D1363" s="19" t="str">
        <f>IFERROR(__xludf.DUMMYFUNCTION("""COMPUTED_VALUE"""),"Cerro Polapi")</f>
        <v>Cerro Polapi</v>
      </c>
      <c r="E1363" s="19" t="str">
        <f>IFERROR(__xludf.DUMMYFUNCTION("""COMPUTED_VALUE"""),"DETENIDO COMUNIDAD")</f>
        <v>DETENIDO COMUNIDAD</v>
      </c>
      <c r="F1363" s="19"/>
      <c r="G1363" s="19" t="str">
        <f>IFERROR(__xludf.DUMMYFUNCTION("""COMPUTED_VALUE"""),"AS60")</f>
        <v>AS60</v>
      </c>
      <c r="H1363" s="19" t="str">
        <f>IFERROR(__xludf.DUMMYFUNCTION("""COMPUTED_VALUE"""),"COMPRAS")</f>
        <v>COMPRAS</v>
      </c>
      <c r="I1363" s="19"/>
      <c r="J1363" s="19"/>
      <c r="K1363" s="19"/>
      <c r="L1363" s="19"/>
      <c r="M1363" s="19" t="str">
        <f>IFERROR(__xludf.DUMMYFUNCTION("""COMPUTED_VALUE"""),"PP")</f>
        <v>PP</v>
      </c>
      <c r="N1363" s="19" t="str">
        <f>IFERROR(__xludf.DUMMYFUNCTION("""COMPUTED_VALUE"""),"PRIORIDAD 2 Q4 2023 DICIEMBRE")</f>
        <v>PRIORIDAD 2 Q4 2023 DICIEMBRE</v>
      </c>
    </row>
    <row r="1364" ht="15.75" customHeight="1">
      <c r="A1364" s="19" t="str">
        <f>IFERROR(__xludf.DUMMYFUNCTION("""COMPUTED_VALUE"""),"AB_10019")</f>
        <v>AB_10019</v>
      </c>
      <c r="B1364" s="19" t="str">
        <f>IFERROR(__xludf.DUMMYFUNCTION("""COMPUTED_VALUE"""),"AB_10019_A")</f>
        <v>AB_10019_A</v>
      </c>
      <c r="C1364" s="19" t="str">
        <f>IFERROR(__xludf.DUMMYFUNCTION("""COMPUTED_VALUE"""),"AN10019")</f>
        <v>AN10019</v>
      </c>
      <c r="D1364" s="19" t="str">
        <f>IFERROR(__xludf.DUMMYFUNCTION("""COMPUTED_VALUE"""),"Salar de Ascotan")</f>
        <v>Salar de Ascotan</v>
      </c>
      <c r="E1364" s="19" t="str">
        <f>IFERROR(__xludf.DUMMYFUNCTION("""COMPUTED_VALUE"""),"DETENIDO COMUNIDAD")</f>
        <v>DETENIDO COMUNIDAD</v>
      </c>
      <c r="F1364" s="19"/>
      <c r="G1364" s="19" t="str">
        <f>IFERROR(__xludf.DUMMYFUNCTION("""COMPUTED_VALUE"""),"AS60")</f>
        <v>AS60</v>
      </c>
      <c r="H1364" s="19" t="str">
        <f>IFERROR(__xludf.DUMMYFUNCTION("""COMPUTED_VALUE"""),"COMPRAS")</f>
        <v>COMPRAS</v>
      </c>
      <c r="I1364" s="19"/>
      <c r="J1364" s="19"/>
      <c r="K1364" s="19"/>
      <c r="L1364" s="19"/>
      <c r="M1364" s="19" t="str">
        <f>IFERROR(__xludf.DUMMYFUNCTION("""COMPUTED_VALUE"""),"PP")</f>
        <v>PP</v>
      </c>
      <c r="N1364" s="19" t="str">
        <f>IFERROR(__xludf.DUMMYFUNCTION("""COMPUTED_VALUE"""),"PRIORIDAD 2 Q4 2023 DICIEMBRE")</f>
        <v>PRIORIDAD 2 Q4 2023 DICIEMBRE</v>
      </c>
    </row>
    <row r="1365" ht="15.75" customHeight="1">
      <c r="A1365" s="19" t="str">
        <f>IFERROR(__xludf.DUMMYFUNCTION("""COMPUTED_VALUE"""),"AB_10020")</f>
        <v>AB_10020</v>
      </c>
      <c r="B1365" s="19" t="str">
        <f>IFERROR(__xludf.DUMMYFUNCTION("""COMPUTED_VALUE"""),"AB_10020_A")</f>
        <v>AB_10020_A</v>
      </c>
      <c r="C1365" s="19" t="str">
        <f>IFERROR(__xludf.DUMMYFUNCTION("""COMPUTED_VALUE"""),"AN10020")</f>
        <v>AN10020</v>
      </c>
      <c r="D1365" s="19" t="str">
        <f>IFERROR(__xludf.DUMMYFUNCTION("""COMPUTED_VALUE"""),"Cerro Carasilia")</f>
        <v>Cerro Carasilia</v>
      </c>
      <c r="E1365" s="19" t="str">
        <f>IFERROR(__xludf.DUMMYFUNCTION("""COMPUTED_VALUE"""),"DETENIDO COMUNIDAD")</f>
        <v>DETENIDO COMUNIDAD</v>
      </c>
      <c r="F1365" s="19"/>
      <c r="G1365" s="19" t="str">
        <f>IFERROR(__xludf.DUMMYFUNCTION("""COMPUTED_VALUE"""),"AS60")</f>
        <v>AS60</v>
      </c>
      <c r="H1365" s="19" t="str">
        <f>IFERROR(__xludf.DUMMYFUNCTION("""COMPUTED_VALUE"""),"COMPRAS")</f>
        <v>COMPRAS</v>
      </c>
      <c r="I1365" s="19"/>
      <c r="J1365" s="19"/>
      <c r="K1365" s="19"/>
      <c r="L1365" s="19"/>
      <c r="M1365" s="19" t="str">
        <f>IFERROR(__xludf.DUMMYFUNCTION("""COMPUTED_VALUE"""),"PP")</f>
        <v>PP</v>
      </c>
      <c r="N1365" s="19" t="str">
        <f>IFERROR(__xludf.DUMMYFUNCTION("""COMPUTED_VALUE"""),"PRIORIDAD 2 Q4 2023 DICIEMBRE")</f>
        <v>PRIORIDAD 2 Q4 2023 DICIEMBRE</v>
      </c>
    </row>
    <row r="1366" ht="15.75" customHeight="1">
      <c r="A1366" s="19" t="str">
        <f>IFERROR(__xludf.DUMMYFUNCTION("""COMPUTED_VALUE"""),"AB_10021")</f>
        <v>AB_10021</v>
      </c>
      <c r="B1366" s="19" t="str">
        <f>IFERROR(__xludf.DUMMYFUNCTION("""COMPUTED_VALUE"""),"AB_10021_A")</f>
        <v>AB_10021_A</v>
      </c>
      <c r="C1366" s="19" t="str">
        <f>IFERROR(__xludf.DUMMYFUNCTION("""COMPUTED_VALUE"""),"AN10021")</f>
        <v>AN10021</v>
      </c>
      <c r="D1366" s="19" t="str">
        <f>IFERROR(__xludf.DUMMYFUNCTION("""COMPUTED_VALUE"""),"Faldeos del Azufre")</f>
        <v>Faldeos del Azufre</v>
      </c>
      <c r="E1366" s="19" t="str">
        <f>IFERROR(__xludf.DUMMYFUNCTION("""COMPUTED_VALUE"""),"DETENIDO FUERA DE PLAN")</f>
        <v>DETENIDO FUERA DE PLAN</v>
      </c>
      <c r="F1366" s="19"/>
      <c r="G1366" s="19" t="str">
        <f>IFERROR(__xludf.DUMMYFUNCTION("""COMPUTED_VALUE"""),"x")</f>
        <v>x</v>
      </c>
      <c r="H1366" s="19" t="str">
        <f>IFERROR(__xludf.DUMMYFUNCTION("""COMPUTED_VALUE"""),"x")</f>
        <v>x</v>
      </c>
      <c r="I1366" s="19" t="str">
        <f>IFERROR(__xludf.DUMMYFUNCTION("""COMPUTED_VALUE"""),"x")</f>
        <v>x</v>
      </c>
      <c r="J1366" s="20" t="str">
        <f>IFERROR(__xludf.DUMMYFUNCTION("""COMPUTED_VALUE"""),"x")</f>
        <v>x</v>
      </c>
      <c r="K1366" s="19" t="str">
        <f>IFERROR(__xludf.DUMMYFUNCTION("""COMPUTED_VALUE"""),"x")</f>
        <v>x</v>
      </c>
      <c r="L1366" s="20" t="str">
        <f>IFERROR(__xludf.DUMMYFUNCTION("""COMPUTED_VALUE"""),"x")</f>
        <v>x</v>
      </c>
      <c r="M1366" s="19" t="str">
        <f>IFERROR(__xludf.DUMMYFUNCTION("""COMPUTED_VALUE"""),"PP")</f>
        <v>PP</v>
      </c>
      <c r="N1366" s="19" t="str">
        <f>IFERROR(__xludf.DUMMYFUNCTION("""COMPUTED_VALUE"""),"PRIORIDAD 2 Q4 2023 DICIEMBRE")</f>
        <v>PRIORIDAD 2 Q4 2023 DICIEMBRE</v>
      </c>
    </row>
    <row r="1367" ht="15.75" customHeight="1">
      <c r="A1367" s="19" t="str">
        <f>IFERROR(__xludf.DUMMYFUNCTION("""COMPUTED_VALUE"""),"AB_10022")</f>
        <v>AB_10022</v>
      </c>
      <c r="B1367" s="19" t="str">
        <f>IFERROR(__xludf.DUMMYFUNCTION("""COMPUTED_VALUE"""),"AB_10022_B")</f>
        <v>AB_10022_B</v>
      </c>
      <c r="C1367" s="19" t="str">
        <f>IFERROR(__xludf.DUMMYFUNCTION("""COMPUTED_VALUE"""),"AN10022")</f>
        <v>AN10022</v>
      </c>
      <c r="D1367" s="19" t="str">
        <f>IFERROR(__xludf.DUMMYFUNCTION("""COMPUTED_VALUE"""),"Volcan del Azufre")</f>
        <v>Volcan del Azufre</v>
      </c>
      <c r="E1367" s="19" t="str">
        <f>IFERROR(__xludf.DUMMYFUNCTION("""COMPUTED_VALUE"""),"SITIO ASIGNADO")</f>
        <v>SITIO ASIGNADO</v>
      </c>
      <c r="F1367" s="19"/>
      <c r="G1367" s="19" t="str">
        <f>IFERROR(__xludf.DUMMYFUNCTION("""COMPUTED_VALUE"""),"AS60")</f>
        <v>AS60</v>
      </c>
      <c r="H1367" s="19" t="str">
        <f>IFERROR(__xludf.DUMMYFUNCTION("""COMPUTED_VALUE"""),"ADM")</f>
        <v>ADM</v>
      </c>
      <c r="I1367" s="19" t="str">
        <f>IFERROR(__xludf.DUMMYFUNCTION("""COMPUTED_VALUE"""),"Terminada")</f>
        <v>Terminada</v>
      </c>
      <c r="J1367" s="20">
        <f>IFERROR(__xludf.DUMMYFUNCTION("""COMPUTED_VALUE"""),44750.0)</f>
        <v>44750</v>
      </c>
      <c r="K1367" s="19" t="str">
        <f>IFERROR(__xludf.DUMMYFUNCTION("""COMPUTED_VALUE"""),"Terminada")</f>
        <v>Terminada</v>
      </c>
      <c r="L1367" s="20">
        <f>IFERROR(__xludf.DUMMYFUNCTION("""COMPUTED_VALUE"""),44890.0)</f>
        <v>44890</v>
      </c>
      <c r="M1367" s="19" t="str">
        <f>IFERROR(__xludf.DUMMYFUNCTION("""COMPUTED_VALUE"""),"PP")</f>
        <v>PP</v>
      </c>
      <c r="N1367" s="19" t="str">
        <f>IFERROR(__xludf.DUMMYFUNCTION("""COMPUTED_VALUE"""),"PRIORIDAD 2 Q4 2023 DICIEMBRE")</f>
        <v>PRIORIDAD 2 Q4 2023 DICIEMBRE</v>
      </c>
    </row>
    <row r="1368" ht="15.75" customHeight="1">
      <c r="A1368" s="19" t="str">
        <f>IFERROR(__xludf.DUMMYFUNCTION("""COMPUTED_VALUE"""),"AB_10023")</f>
        <v>AB_10023</v>
      </c>
      <c r="B1368" s="19" t="str">
        <f>IFERROR(__xludf.DUMMYFUNCTION("""COMPUTED_VALUE"""),"AB_10023_A")</f>
        <v>AB_10023_A</v>
      </c>
      <c r="C1368" s="19" t="str">
        <f>IFERROR(__xludf.DUMMYFUNCTION("""COMPUTED_VALUE"""),"AN10023")</f>
        <v>AN10023</v>
      </c>
      <c r="D1368" s="19" t="str">
        <f>IFERROR(__xludf.DUMMYFUNCTION("""COMPUTED_VALUE"""),"Parque eolico Valle de los Vientos")</f>
        <v>Parque eolico Valle de los Vientos</v>
      </c>
      <c r="E1368" s="19" t="str">
        <f>IFERROR(__xludf.DUMMYFUNCTION("""COMPUTED_VALUE"""),"DETENIDO COMPRA ESTRUCTURA")</f>
        <v>DETENIDO COMPRA ESTRUCTURA</v>
      </c>
      <c r="F1368" s="19"/>
      <c r="G1368" s="19" t="str">
        <f>IFERROR(__xludf.DUMMYFUNCTION("""COMPUTED_VALUE"""),"AS48")</f>
        <v>AS48</v>
      </c>
      <c r="H1368" s="19" t="str">
        <f>IFERROR(__xludf.DUMMYFUNCTION("""COMPUTED_VALUE"""),"COMPRAS")</f>
        <v>COMPRAS</v>
      </c>
      <c r="I1368" s="19"/>
      <c r="J1368" s="19"/>
      <c r="K1368" s="19"/>
      <c r="L1368" s="19"/>
      <c r="M1368" s="19" t="str">
        <f>IFERROR(__xludf.DUMMYFUNCTION("""COMPUTED_VALUE"""),"PP")</f>
        <v>PP</v>
      </c>
      <c r="N1368" s="19" t="str">
        <f>IFERROR(__xludf.DUMMYFUNCTION("""COMPUTED_VALUE"""),"PRIORIDAD 2 Q4 2023 DICIEMBRE")</f>
        <v>PRIORIDAD 2 Q4 2023 DICIEMBRE</v>
      </c>
    </row>
    <row r="1369" ht="15.75" customHeight="1">
      <c r="A1369" s="19" t="str">
        <f>IFERROR(__xludf.DUMMYFUNCTION("""COMPUTED_VALUE"""),"AB_10024")</f>
        <v>AB_10024</v>
      </c>
      <c r="B1369" s="19" t="str">
        <f>IFERROR(__xludf.DUMMYFUNCTION("""COMPUTED_VALUE"""),"AB_10024_B")</f>
        <v>AB_10024_B</v>
      </c>
      <c r="C1369" s="19" t="str">
        <f>IFERROR(__xludf.DUMMYFUNCTION("""COMPUTED_VALUE"""),"AN10024")</f>
        <v>AN10024</v>
      </c>
      <c r="D1369" s="19" t="str">
        <f>IFERROR(__xludf.DUMMYFUNCTION("""COMPUTED_VALUE"""),"Cerro Negro Ruta 23")</f>
        <v>Cerro Negro Ruta 23</v>
      </c>
      <c r="E1369" s="19" t="str">
        <f>IFERROR(__xludf.DUMMYFUNCTION("""COMPUTED_VALUE"""),"DETENIDO FUERA DE PLAN")</f>
        <v>DETENIDO FUERA DE PLAN</v>
      </c>
      <c r="F1369" s="19"/>
      <c r="G1369" s="19" t="str">
        <f>IFERROR(__xludf.DUMMYFUNCTION("""COMPUTED_VALUE"""),"x")</f>
        <v>x</v>
      </c>
      <c r="H1369" s="19" t="str">
        <f>IFERROR(__xludf.DUMMYFUNCTION("""COMPUTED_VALUE"""),"x")</f>
        <v>x</v>
      </c>
      <c r="I1369" s="19" t="str">
        <f>IFERROR(__xludf.DUMMYFUNCTION("""COMPUTED_VALUE"""),"x")</f>
        <v>x</v>
      </c>
      <c r="J1369" s="20" t="str">
        <f>IFERROR(__xludf.DUMMYFUNCTION("""COMPUTED_VALUE"""),"x")</f>
        <v>x</v>
      </c>
      <c r="K1369" s="19" t="str">
        <f>IFERROR(__xludf.DUMMYFUNCTION("""COMPUTED_VALUE"""),"x")</f>
        <v>x</v>
      </c>
      <c r="L1369" s="20" t="str">
        <f>IFERROR(__xludf.DUMMYFUNCTION("""COMPUTED_VALUE"""),"x")</f>
        <v>x</v>
      </c>
      <c r="M1369" s="19" t="str">
        <f>IFERROR(__xludf.DUMMYFUNCTION("""COMPUTED_VALUE"""),"PP")</f>
        <v>PP</v>
      </c>
      <c r="N1369" s="19" t="str">
        <f>IFERROR(__xludf.DUMMYFUNCTION("""COMPUTED_VALUE"""),"PRIORIDAD 2 Q4 2023 DICIEMBRE")</f>
        <v>PRIORIDAD 2 Q4 2023 DICIEMBRE</v>
      </c>
    </row>
    <row r="1370" ht="15.75" customHeight="1">
      <c r="A1370" s="19" t="str">
        <f>IFERROR(__xludf.DUMMYFUNCTION("""COMPUTED_VALUE"""),"AB_10025")</f>
        <v>AB_10025</v>
      </c>
      <c r="B1370" s="19" t="str">
        <f>IFERROR(__xludf.DUMMYFUNCTION("""COMPUTED_VALUE"""),"AB_10025_A")</f>
        <v>AB_10025_A</v>
      </c>
      <c r="C1370" s="19" t="str">
        <f>IFERROR(__xludf.DUMMYFUNCTION("""COMPUTED_VALUE"""),"AN10025")</f>
        <v>AN10025</v>
      </c>
      <c r="D1370" s="19" t="str">
        <f>IFERROR(__xludf.DUMMYFUNCTION("""COMPUTED_VALUE"""),"Cuesta Cerro Carolina")</f>
        <v>Cuesta Cerro Carolina</v>
      </c>
      <c r="E1370" s="19" t="str">
        <f>IFERROR(__xludf.DUMMYFUNCTION("""COMPUTED_VALUE"""),"SITIO ASIGNADO")</f>
        <v>SITIO ASIGNADO</v>
      </c>
      <c r="F1370" s="19"/>
      <c r="G1370" s="19" t="str">
        <f>IFERROR(__xludf.DUMMYFUNCTION("""COMPUTED_VALUE"""),"AS60")</f>
        <v>AS60</v>
      </c>
      <c r="H1370" s="19" t="str">
        <f>IFERROR(__xludf.DUMMYFUNCTION("""COMPUTED_VALUE"""),"JTI")</f>
        <v>JTI</v>
      </c>
      <c r="I1370" s="19" t="str">
        <f>IFERROR(__xludf.DUMMYFUNCTION("""COMPUTED_VALUE"""),"Terminada")</f>
        <v>Terminada</v>
      </c>
      <c r="J1370" s="20">
        <f>IFERROR(__xludf.DUMMYFUNCTION("""COMPUTED_VALUE"""),45022.0)</f>
        <v>45022</v>
      </c>
      <c r="K1370" s="19" t="str">
        <f>IFERROR(__xludf.DUMMYFUNCTION("""COMPUTED_VALUE"""),"Por pintar ")</f>
        <v>Por pintar </v>
      </c>
      <c r="L1370" s="20">
        <f>IFERROR(__xludf.DUMMYFUNCTION("""COMPUTED_VALUE"""),45022.0)</f>
        <v>45022</v>
      </c>
      <c r="M1370" s="19" t="str">
        <f>IFERROR(__xludf.DUMMYFUNCTION("""COMPUTED_VALUE"""),"PP")</f>
        <v>PP</v>
      </c>
      <c r="N1370" s="19" t="str">
        <f>IFERROR(__xludf.DUMMYFUNCTION("""COMPUTED_VALUE"""),"PRIORIDAD 2 Q4 2023 DICIEMBRE")</f>
        <v>PRIORIDAD 2 Q4 2023 DICIEMBRE</v>
      </c>
    </row>
    <row r="1371" ht="15.75" customHeight="1">
      <c r="A1371" s="19" t="str">
        <f>IFERROR(__xludf.DUMMYFUNCTION("""COMPUTED_VALUE"""),"AB_10026")</f>
        <v>AB_10026</v>
      </c>
      <c r="B1371" s="19" t="str">
        <f>IFERROR(__xludf.DUMMYFUNCTION("""COMPUTED_VALUE"""),"AB_10026_A")</f>
        <v>AB_10026_A</v>
      </c>
      <c r="C1371" s="19" t="str">
        <f>IFERROR(__xludf.DUMMYFUNCTION("""COMPUTED_VALUE"""),"AN10026")</f>
        <v>AN10026</v>
      </c>
      <c r="D1371" s="19" t="str">
        <f>IFERROR(__xludf.DUMMYFUNCTION("""COMPUTED_VALUE"""),"Camino Llano Pajonales")</f>
        <v>Camino Llano Pajonales</v>
      </c>
      <c r="E1371" s="19" t="str">
        <f>IFERROR(__xludf.DUMMYFUNCTION("""COMPUTED_VALUE"""),"SITIO PENDIENTE")</f>
        <v>SITIO PENDIENTE</v>
      </c>
      <c r="F1371" s="19"/>
      <c r="G1371" s="19" t="str">
        <f>IFERROR(__xludf.DUMMYFUNCTION("""COMPUTED_VALUE"""),"x")</f>
        <v>x</v>
      </c>
      <c r="H1371" s="19" t="str">
        <f>IFERROR(__xludf.DUMMYFUNCTION("""COMPUTED_VALUE"""),"x")</f>
        <v>x</v>
      </c>
      <c r="I1371" s="19" t="str">
        <f>IFERROR(__xludf.DUMMYFUNCTION("""COMPUTED_VALUE"""),"x")</f>
        <v>x</v>
      </c>
      <c r="J1371" s="20" t="str">
        <f>IFERROR(__xludf.DUMMYFUNCTION("""COMPUTED_VALUE"""),"x")</f>
        <v>x</v>
      </c>
      <c r="K1371" s="19" t="str">
        <f>IFERROR(__xludf.DUMMYFUNCTION("""COMPUTED_VALUE"""),"x")</f>
        <v>x</v>
      </c>
      <c r="L1371" s="20" t="str">
        <f>IFERROR(__xludf.DUMMYFUNCTION("""COMPUTED_VALUE"""),"x")</f>
        <v>x</v>
      </c>
      <c r="M1371" s="19" t="str">
        <f>IFERROR(__xludf.DUMMYFUNCTION("""COMPUTED_VALUE"""),"PP")</f>
        <v>PP</v>
      </c>
      <c r="N1371" s="19" t="str">
        <f>IFERROR(__xludf.DUMMYFUNCTION("""COMPUTED_VALUE"""),"PRIORIDAD 3 Q1 2024 MARZO")</f>
        <v>PRIORIDAD 3 Q1 2024 MARZO</v>
      </c>
    </row>
    <row r="1372" ht="15.75" customHeight="1">
      <c r="A1372" s="19" t="str">
        <f>IFERROR(__xludf.DUMMYFUNCTION("""COMPUTED_VALUE"""),"AB_10027")</f>
        <v>AB_10027</v>
      </c>
      <c r="B1372" s="19" t="str">
        <f>IFERROR(__xludf.DUMMYFUNCTION("""COMPUTED_VALUE"""),"AB_10027_A")</f>
        <v>AB_10027_A</v>
      </c>
      <c r="C1372" s="19" t="str">
        <f>IFERROR(__xludf.DUMMYFUNCTION("""COMPUTED_VALUE"""),"AN10027")</f>
        <v>AN10027</v>
      </c>
      <c r="D1372" s="19" t="str">
        <f>IFERROR(__xludf.DUMMYFUNCTION("""COMPUTED_VALUE"""),"Camino del Cajon")</f>
        <v>Camino del Cajon</v>
      </c>
      <c r="E1372" s="19" t="str">
        <f>IFERROR(__xludf.DUMMYFUNCTION("""COMPUTED_VALUE"""),"SITIO ASIGNADO")</f>
        <v>SITIO ASIGNADO</v>
      </c>
      <c r="F1372" s="19"/>
      <c r="G1372" s="19" t="str">
        <f>IFERROR(__xludf.DUMMYFUNCTION("""COMPUTED_VALUE"""),"AS60")</f>
        <v>AS60</v>
      </c>
      <c r="H1372" s="19" t="str">
        <f>IFERROR(__xludf.DUMMYFUNCTION("""COMPUTED_VALUE"""),"JTI")</f>
        <v>JTI</v>
      </c>
      <c r="I1372" s="19" t="str">
        <f>IFERROR(__xludf.DUMMYFUNCTION("""COMPUTED_VALUE"""),"Terminada")</f>
        <v>Terminada</v>
      </c>
      <c r="J1372" s="20">
        <f>IFERROR(__xludf.DUMMYFUNCTION("""COMPUTED_VALUE"""),45022.0)</f>
        <v>45022</v>
      </c>
      <c r="K1372" s="19" t="str">
        <f>IFERROR(__xludf.DUMMYFUNCTION("""COMPUTED_VALUE"""),"Por pintar ")</f>
        <v>Por pintar </v>
      </c>
      <c r="L1372" s="20">
        <f>IFERROR(__xludf.DUMMYFUNCTION("""COMPUTED_VALUE"""),45022.0)</f>
        <v>45022</v>
      </c>
      <c r="M1372" s="19" t="str">
        <f>IFERROR(__xludf.DUMMYFUNCTION("""COMPUTED_VALUE"""),"PP")</f>
        <v>PP</v>
      </c>
      <c r="N1372" s="19" t="str">
        <f>IFERROR(__xludf.DUMMYFUNCTION("""COMPUTED_VALUE"""),"PRIORIDAD 2 Q4 2023 DICIEMBRE")</f>
        <v>PRIORIDAD 2 Q4 2023 DICIEMBRE</v>
      </c>
    </row>
    <row r="1373" ht="15.75" customHeight="1">
      <c r="A1373" s="19" t="str">
        <f>IFERROR(__xludf.DUMMYFUNCTION("""COMPUTED_VALUE"""),"AB_10028")</f>
        <v>AB_10028</v>
      </c>
      <c r="B1373" s="19" t="str">
        <f>IFERROR(__xludf.DUMMYFUNCTION("""COMPUTED_VALUE"""),"AB_10028_D")</f>
        <v>AB_10028_D</v>
      </c>
      <c r="C1373" s="19" t="str">
        <f>IFERROR(__xludf.DUMMYFUNCTION("""COMPUTED_VALUE"""),"AN10028")</f>
        <v>AN10028</v>
      </c>
      <c r="D1373" s="19" t="str">
        <f>IFERROR(__xludf.DUMMYFUNCTION("""COMPUTED_VALUE"""),"Roca Purico")</f>
        <v>Roca Purico</v>
      </c>
      <c r="E1373" s="19" t="str">
        <f>IFERROR(__xludf.DUMMYFUNCTION("""COMPUTED_VALUE"""),"SITIO PENDIENTE")</f>
        <v>SITIO PENDIENTE</v>
      </c>
      <c r="F1373" s="19"/>
      <c r="G1373" s="19" t="str">
        <f>IFERROR(__xludf.DUMMYFUNCTION("""COMPUTED_VALUE"""),"CV60")</f>
        <v>CV60</v>
      </c>
      <c r="H1373" s="19" t="str">
        <f>IFERROR(__xludf.DUMMYFUNCTION("""COMPUTED_VALUE"""),"INCOSERV")</f>
        <v>INCOSERV</v>
      </c>
      <c r="I1373" s="19" t="str">
        <f>IFERROR(__xludf.DUMMYFUNCTION("""COMPUTED_VALUE"""),"Terminada")</f>
        <v>Terminada</v>
      </c>
      <c r="J1373" s="20">
        <f>IFERROR(__xludf.DUMMYFUNCTION("""COMPUTED_VALUE"""),45034.0)</f>
        <v>45034</v>
      </c>
      <c r="K1373" s="19" t="str">
        <f>IFERROR(__xludf.DUMMYFUNCTION("""COMPUTED_VALUE"""),"Por pintar ")</f>
        <v>Por pintar </v>
      </c>
      <c r="L1373" s="20">
        <f>IFERROR(__xludf.DUMMYFUNCTION("""COMPUTED_VALUE"""),45114.0)</f>
        <v>45114</v>
      </c>
      <c r="M1373" s="19" t="str">
        <f>IFERROR(__xludf.DUMMYFUNCTION("""COMPUTED_VALUE"""),"PP")</f>
        <v>PP</v>
      </c>
      <c r="N1373" s="19" t="str">
        <f>IFERROR(__xludf.DUMMYFUNCTION("""COMPUTED_VALUE"""),"PRIORIDAD 2 Q4 2023 DICIEMBRE")</f>
        <v>PRIORIDAD 2 Q4 2023 DICIEMBRE</v>
      </c>
    </row>
    <row r="1374" ht="15.75" customHeight="1">
      <c r="A1374" s="19" t="str">
        <f>IFERROR(__xludf.DUMMYFUNCTION("""COMPUTED_VALUE"""),"AB_10029")</f>
        <v>AB_10029</v>
      </c>
      <c r="B1374" s="19" t="str">
        <f>IFERROR(__xludf.DUMMYFUNCTION("""COMPUTED_VALUE"""),"AB_10029_A")</f>
        <v>AB_10029_A</v>
      </c>
      <c r="C1374" s="19" t="str">
        <f>IFERROR(__xludf.DUMMYFUNCTION("""COMPUTED_VALUE"""),"AN10029")</f>
        <v>AN10029</v>
      </c>
      <c r="D1374" s="19" t="str">
        <f>IFERROR(__xludf.DUMMYFUNCTION("""COMPUTED_VALUE"""),"Camino Cerro Toco")</f>
        <v>Camino Cerro Toco</v>
      </c>
      <c r="E1374" s="19" t="str">
        <f>IFERROR(__xludf.DUMMYFUNCTION("""COMPUTED_VALUE"""),"SITIO ASIGNADO")</f>
        <v>SITIO ASIGNADO</v>
      </c>
      <c r="F1374" s="19"/>
      <c r="G1374" s="19" t="str">
        <f>IFERROR(__xludf.DUMMYFUNCTION("""COMPUTED_VALUE"""),"AS42")</f>
        <v>AS42</v>
      </c>
      <c r="H1374" s="19" t="str">
        <f>IFERROR(__xludf.DUMMYFUNCTION("""COMPUTED_VALUE"""),"JTI")</f>
        <v>JTI</v>
      </c>
      <c r="I1374" s="19" t="str">
        <f>IFERROR(__xludf.DUMMYFUNCTION("""COMPUTED_VALUE"""),"Terminada")</f>
        <v>Terminada</v>
      </c>
      <c r="J1374" s="20">
        <f>IFERROR(__xludf.DUMMYFUNCTION("""COMPUTED_VALUE"""),44991.0)</f>
        <v>44991</v>
      </c>
      <c r="K1374" s="19" t="str">
        <f>IFERROR(__xludf.DUMMYFUNCTION("""COMPUTED_VALUE"""),"Terminada")</f>
        <v>Terminada</v>
      </c>
      <c r="L1374" s="20">
        <f>IFERROR(__xludf.DUMMYFUNCTION("""COMPUTED_VALUE"""),44991.0)</f>
        <v>44991</v>
      </c>
      <c r="M1374" s="19" t="str">
        <f>IFERROR(__xludf.DUMMYFUNCTION("""COMPUTED_VALUE"""),"PP")</f>
        <v>PP</v>
      </c>
      <c r="N1374" s="19" t="str">
        <f>IFERROR(__xludf.DUMMYFUNCTION("""COMPUTED_VALUE"""),"PRIORIDAD 2 Q4 2023 DICIEMBRE")</f>
        <v>PRIORIDAD 2 Q4 2023 DICIEMBRE</v>
      </c>
    </row>
    <row r="1375" ht="15.75" customHeight="1">
      <c r="A1375" s="19" t="str">
        <f>IFERROR(__xludf.DUMMYFUNCTION("""COMPUTED_VALUE"""),"AB_10030")</f>
        <v>AB_10030</v>
      </c>
      <c r="B1375" s="19" t="str">
        <f>IFERROR(__xludf.DUMMYFUNCTION("""COMPUTED_VALUE"""),"AB_10030_B")</f>
        <v>AB_10030_B</v>
      </c>
      <c r="C1375" s="19" t="str">
        <f>IFERROR(__xludf.DUMMYFUNCTION("""COMPUTED_VALUE"""),"AN10030")</f>
        <v>AN10030</v>
      </c>
      <c r="D1375" s="19" t="str">
        <f>IFERROR(__xludf.DUMMYFUNCTION("""COMPUTED_VALUE"""),"Cerro Peña Negra")</f>
        <v>Cerro Peña Negra</v>
      </c>
      <c r="E1375" s="19" t="str">
        <f>IFERROR(__xludf.DUMMYFUNCTION("""COMPUTED_VALUE"""),"SITIO RFC")</f>
        <v>SITIO RFC</v>
      </c>
      <c r="F1375" s="19"/>
      <c r="G1375" s="19" t="str">
        <f>IFERROR(__xludf.DUMMYFUNCTION("""COMPUTED_VALUE"""),"CV48")</f>
        <v>CV48</v>
      </c>
      <c r="H1375" s="19" t="str">
        <f>IFERROR(__xludf.DUMMYFUNCTION("""COMPUTED_VALUE"""),"INCOSERV")</f>
        <v>INCOSERV</v>
      </c>
      <c r="I1375" s="19" t="str">
        <f>IFERROR(__xludf.DUMMYFUNCTION("""COMPUTED_VALUE"""),"Terminada")</f>
        <v>Terminada</v>
      </c>
      <c r="J1375" s="20">
        <f>IFERROR(__xludf.DUMMYFUNCTION("""COMPUTED_VALUE"""),45034.0)</f>
        <v>45034</v>
      </c>
      <c r="K1375" s="19" t="str">
        <f>IFERROR(__xludf.DUMMYFUNCTION("""COMPUTED_VALUE"""),"Terminada")</f>
        <v>Terminada</v>
      </c>
      <c r="L1375" s="20">
        <f>IFERROR(__xludf.DUMMYFUNCTION("""COMPUTED_VALUE"""),45093.0)</f>
        <v>45093</v>
      </c>
      <c r="M1375" s="19" t="str">
        <f>IFERROR(__xludf.DUMMYFUNCTION("""COMPUTED_VALUE"""),"PP")</f>
        <v>PP</v>
      </c>
      <c r="N1375" s="19" t="str">
        <f>IFERROR(__xludf.DUMMYFUNCTION("""COMPUTED_VALUE"""),"PRIORIDAD 2 Q4 2023 DICIEMBRE")</f>
        <v>PRIORIDAD 2 Q4 2023 DICIEMBRE</v>
      </c>
    </row>
    <row r="1376" ht="15.75" customHeight="1">
      <c r="A1376" s="19" t="str">
        <f>IFERROR(__xludf.DUMMYFUNCTION("""COMPUTED_VALUE"""),"AB_10031")</f>
        <v>AB_10031</v>
      </c>
      <c r="B1376" s="19" t="str">
        <f>IFERROR(__xludf.DUMMYFUNCTION("""COMPUTED_VALUE"""),"AB_10031_C")</f>
        <v>AB_10031_C</v>
      </c>
      <c r="C1376" s="19" t="str">
        <f>IFERROR(__xludf.DUMMYFUNCTION("""COMPUTED_VALUE"""),"AN10031")</f>
        <v>AN10031</v>
      </c>
      <c r="D1376" s="19" t="str">
        <f>IFERROR(__xludf.DUMMYFUNCTION("""COMPUTED_VALUE"""),"Laguna Negra Ruta 27")</f>
        <v>Laguna Negra Ruta 27</v>
      </c>
      <c r="E1376" s="19" t="str">
        <f>IFERROR(__xludf.DUMMYFUNCTION("""COMPUTED_VALUE"""),"DETENIDO SAC")</f>
        <v>DETENIDO SAC</v>
      </c>
      <c r="F1376" s="19"/>
      <c r="G1376" s="19" t="str">
        <f>IFERROR(__xludf.DUMMYFUNCTION("""COMPUTED_VALUE"""),"CV60")</f>
        <v>CV60</v>
      </c>
      <c r="H1376" s="19" t="str">
        <f>IFERROR(__xludf.DUMMYFUNCTION("""COMPUTED_VALUE"""),"")</f>
        <v/>
      </c>
      <c r="I1376" s="19" t="str">
        <f>IFERROR(__xludf.DUMMYFUNCTION("""COMPUTED_VALUE"""),"")</f>
        <v/>
      </c>
      <c r="J1376" s="20" t="str">
        <f>IFERROR(__xludf.DUMMYFUNCTION("""COMPUTED_VALUE"""),"")</f>
        <v/>
      </c>
      <c r="K1376" s="19" t="str">
        <f>IFERROR(__xludf.DUMMYFUNCTION("""COMPUTED_VALUE"""),"")</f>
        <v/>
      </c>
      <c r="L1376" s="20" t="str">
        <f>IFERROR(__xludf.DUMMYFUNCTION("""COMPUTED_VALUE"""),"")</f>
        <v/>
      </c>
      <c r="M1376" s="19" t="str">
        <f>IFERROR(__xludf.DUMMYFUNCTION("""COMPUTED_VALUE"""),"PP")</f>
        <v>PP</v>
      </c>
      <c r="N1376" s="19" t="str">
        <f>IFERROR(__xludf.DUMMYFUNCTION("""COMPUTED_VALUE"""),"PRIORIDAD 3 Q1 2024 MARZO")</f>
        <v>PRIORIDAD 3 Q1 2024 MARZO</v>
      </c>
    </row>
    <row r="1377" ht="15.75" customHeight="1">
      <c r="A1377" s="19" t="str">
        <f>IFERROR(__xludf.DUMMYFUNCTION("""COMPUTED_VALUE"""),"AB_10032")</f>
        <v>AB_10032</v>
      </c>
      <c r="B1377" s="19" t="str">
        <f>IFERROR(__xludf.DUMMYFUNCTION("""COMPUTED_VALUE"""),"AB_10032_A")</f>
        <v>AB_10032_A</v>
      </c>
      <c r="C1377" s="19" t="str">
        <f>IFERROR(__xludf.DUMMYFUNCTION("""COMPUTED_VALUE"""),"AN10032")</f>
        <v>AN10032</v>
      </c>
      <c r="D1377" s="19" t="str">
        <f>IFERROR(__xludf.DUMMYFUNCTION("""COMPUTED_VALUE"""),"Entrada Laguna Helada")</f>
        <v>Entrada Laguna Helada</v>
      </c>
      <c r="E1377" s="19" t="str">
        <f>IFERROR(__xludf.DUMMYFUNCTION("""COMPUTED_VALUE"""),"DETENIDO SAC")</f>
        <v>DETENIDO SAC</v>
      </c>
      <c r="F1377" s="19"/>
      <c r="G1377" s="19" t="str">
        <f>IFERROR(__xludf.DUMMYFUNCTION("""COMPUTED_VALUE"""),"AS60")</f>
        <v>AS60</v>
      </c>
      <c r="H1377" s="19" t="str">
        <f>IFERROR(__xludf.DUMMYFUNCTION("""COMPUTED_VALUE"""),"JTI")</f>
        <v>JTI</v>
      </c>
      <c r="I1377" s="19" t="str">
        <f>IFERROR(__xludf.DUMMYFUNCTION("""COMPUTED_VALUE"""),"Asignada")</f>
        <v>Asignada</v>
      </c>
      <c r="J1377" s="20">
        <f>IFERROR(__xludf.DUMMYFUNCTION("""COMPUTED_VALUE"""),45156.0)</f>
        <v>45156</v>
      </c>
      <c r="K1377" s="19" t="str">
        <f>IFERROR(__xludf.DUMMYFUNCTION("""COMPUTED_VALUE"""),"Asignada")</f>
        <v>Asignada</v>
      </c>
      <c r="L1377" s="20">
        <f>IFERROR(__xludf.DUMMYFUNCTION("""COMPUTED_VALUE"""),45163.0)</f>
        <v>45163</v>
      </c>
      <c r="M1377" s="19" t="str">
        <f>IFERROR(__xludf.DUMMYFUNCTION("""COMPUTED_VALUE"""),"PP")</f>
        <v>PP</v>
      </c>
      <c r="N1377" s="19" t="str">
        <f>IFERROR(__xludf.DUMMYFUNCTION("""COMPUTED_VALUE"""),"PRIORIDAD 2 Q4 2023 DICIEMBRE")</f>
        <v>PRIORIDAD 2 Q4 2023 DICIEMBRE</v>
      </c>
    </row>
    <row r="1378" ht="15.75" customHeight="1">
      <c r="A1378" s="19" t="str">
        <f>IFERROR(__xludf.DUMMYFUNCTION("""COMPUTED_VALUE"""),"AB_10033")</f>
        <v>AB_10033</v>
      </c>
      <c r="B1378" s="19" t="str">
        <f>IFERROR(__xludf.DUMMYFUNCTION("""COMPUTED_VALUE"""),"AB_10033_C")</f>
        <v>AB_10033_C</v>
      </c>
      <c r="C1378" s="19" t="str">
        <f>IFERROR(__xludf.DUMMYFUNCTION("""COMPUTED_VALUE"""),"AN10033")</f>
        <v>AN10033</v>
      </c>
      <c r="D1378" s="19" t="str">
        <f>IFERROR(__xludf.DUMMYFUNCTION("""COMPUTED_VALUE"""),"Ruta a Camar")</f>
        <v>Ruta a Camar</v>
      </c>
      <c r="E1378" s="19" t="str">
        <f>IFERROR(__xludf.DUMMYFUNCTION("""COMPUTED_VALUE"""),"SITIO PENDIENTE")</f>
        <v>SITIO PENDIENTE</v>
      </c>
      <c r="F1378" s="19"/>
      <c r="G1378" s="19" t="str">
        <f>IFERROR(__xludf.DUMMYFUNCTION("""COMPUTED_VALUE"""),"x")</f>
        <v>x</v>
      </c>
      <c r="H1378" s="19" t="str">
        <f>IFERROR(__xludf.DUMMYFUNCTION("""COMPUTED_VALUE"""),"x")</f>
        <v>x</v>
      </c>
      <c r="I1378" s="19" t="str">
        <f>IFERROR(__xludf.DUMMYFUNCTION("""COMPUTED_VALUE"""),"x")</f>
        <v>x</v>
      </c>
      <c r="J1378" s="20" t="str">
        <f>IFERROR(__xludf.DUMMYFUNCTION("""COMPUTED_VALUE"""),"x")</f>
        <v>x</v>
      </c>
      <c r="K1378" s="19" t="str">
        <f>IFERROR(__xludf.DUMMYFUNCTION("""COMPUTED_VALUE"""),"x")</f>
        <v>x</v>
      </c>
      <c r="L1378" s="20" t="str">
        <f>IFERROR(__xludf.DUMMYFUNCTION("""COMPUTED_VALUE"""),"x")</f>
        <v>x</v>
      </c>
      <c r="M1378" s="19" t="str">
        <f>IFERROR(__xludf.DUMMYFUNCTION("""COMPUTED_VALUE"""),"PP")</f>
        <v>PP</v>
      </c>
      <c r="N1378" s="19" t="str">
        <f>IFERROR(__xludf.DUMMYFUNCTION("""COMPUTED_VALUE"""),"PRIORIDAD 3 Q1 2024 MARZO")</f>
        <v>PRIORIDAD 3 Q1 2024 MARZO</v>
      </c>
    </row>
    <row r="1379" ht="15.75" customHeight="1">
      <c r="A1379" s="19" t="str">
        <f>IFERROR(__xludf.DUMMYFUNCTION("""COMPUTED_VALUE"""),"AB_10034")</f>
        <v>AB_10034</v>
      </c>
      <c r="B1379" s="19" t="str">
        <f>IFERROR(__xludf.DUMMYFUNCTION("""COMPUTED_VALUE"""),"AB_10034_A")</f>
        <v>AB_10034_A</v>
      </c>
      <c r="C1379" s="19" t="str">
        <f>IFERROR(__xludf.DUMMYFUNCTION("""COMPUTED_VALUE"""),"AN10034")</f>
        <v>AN10034</v>
      </c>
      <c r="D1379" s="19" t="str">
        <f>IFERROR(__xludf.DUMMYFUNCTION("""COMPUTED_VALUE"""),"Volcan Miñiques Ruta 23")</f>
        <v>Volcan Miñiques Ruta 23</v>
      </c>
      <c r="E1379" s="19" t="str">
        <f>IFERROR(__xludf.DUMMYFUNCTION("""COMPUTED_VALUE"""),"DETENIDO COMUNIDAD")</f>
        <v>DETENIDO COMUNIDAD</v>
      </c>
      <c r="F1379" s="19"/>
      <c r="G1379" s="19" t="str">
        <f>IFERROR(__xludf.DUMMYFUNCTION("""COMPUTED_VALUE"""),"AS60")</f>
        <v>AS60</v>
      </c>
      <c r="H1379" s="19" t="str">
        <f>IFERROR(__xludf.DUMMYFUNCTION("""COMPUTED_VALUE"""),"COMPRAS")</f>
        <v>COMPRAS</v>
      </c>
      <c r="I1379" s="19"/>
      <c r="J1379" s="20"/>
      <c r="K1379" s="19"/>
      <c r="L1379" s="20"/>
      <c r="M1379" s="19" t="str">
        <f>IFERROR(__xludf.DUMMYFUNCTION("""COMPUTED_VALUE"""),"PP")</f>
        <v>PP</v>
      </c>
      <c r="N1379" s="19" t="str">
        <f>IFERROR(__xludf.DUMMYFUNCTION("""COMPUTED_VALUE"""),"PRIORIDAD 2 Q4 2023 DICIEMBRE")</f>
        <v>PRIORIDAD 2 Q4 2023 DICIEMBRE</v>
      </c>
    </row>
    <row r="1380" ht="15.75" customHeight="1">
      <c r="A1380" s="19" t="str">
        <f>IFERROR(__xludf.DUMMYFUNCTION("""COMPUTED_VALUE"""),"AB_10035")</f>
        <v>AB_10035</v>
      </c>
      <c r="B1380" s="19" t="str">
        <f>IFERROR(__xludf.DUMMYFUNCTION("""COMPUTED_VALUE"""),"AB_10035_A")</f>
        <v>AB_10035_A</v>
      </c>
      <c r="C1380" s="19" t="str">
        <f>IFERROR(__xludf.DUMMYFUNCTION("""COMPUTED_VALUE"""),"AN10035")</f>
        <v>AN10035</v>
      </c>
      <c r="D1380" s="19" t="str">
        <f>IFERROR(__xludf.DUMMYFUNCTION("""COMPUTED_VALUE"""),"Salar de Aguas Calientes")</f>
        <v>Salar de Aguas Calientes</v>
      </c>
      <c r="E1380" s="19" t="str">
        <f>IFERROR(__xludf.DUMMYFUNCTION("""COMPUTED_VALUE"""),"DETENIDO COMUNIDAD")</f>
        <v>DETENIDO COMUNIDAD</v>
      </c>
      <c r="F1380" s="19"/>
      <c r="G1380" s="19" t="str">
        <f>IFERROR(__xludf.DUMMYFUNCTION("""COMPUTED_VALUE"""),"AS48")</f>
        <v>AS48</v>
      </c>
      <c r="H1380" s="19" t="str">
        <f>IFERROR(__xludf.DUMMYFUNCTION("""COMPUTED_VALUE"""),"COMPRAS")</f>
        <v>COMPRAS</v>
      </c>
      <c r="I1380" s="19"/>
      <c r="J1380" s="19"/>
      <c r="K1380" s="19"/>
      <c r="L1380" s="19"/>
      <c r="M1380" s="19" t="str">
        <f>IFERROR(__xludf.DUMMYFUNCTION("""COMPUTED_VALUE"""),"PP")</f>
        <v>PP</v>
      </c>
      <c r="N1380" s="19" t="str">
        <f>IFERROR(__xludf.DUMMYFUNCTION("""COMPUTED_VALUE"""),"PRIORIDAD 2 Q4 2023 DICIEMBRE")</f>
        <v>PRIORIDAD 2 Q4 2023 DICIEMBRE</v>
      </c>
    </row>
    <row r="1381" ht="15.75" customHeight="1">
      <c r="A1381" s="19" t="str">
        <f>IFERROR(__xludf.DUMMYFUNCTION("""COMPUTED_VALUE"""),"AB_10036")</f>
        <v>AB_10036</v>
      </c>
      <c r="B1381" s="19" t="str">
        <f>IFERROR(__xludf.DUMMYFUNCTION("""COMPUTED_VALUE"""),"AB_10036_A")</f>
        <v>AB_10036_A</v>
      </c>
      <c r="C1381" s="19" t="str">
        <f>IFERROR(__xludf.DUMMYFUNCTION("""COMPUTED_VALUE"""),"AN10036")</f>
        <v>AN10036</v>
      </c>
      <c r="D1381" s="19" t="str">
        <f>IFERROR(__xludf.DUMMYFUNCTION("""COMPUTED_VALUE"""),"Laguna de Tuyato")</f>
        <v>Laguna de Tuyato</v>
      </c>
      <c r="E1381" s="19" t="str">
        <f>IFERROR(__xludf.DUMMYFUNCTION("""COMPUTED_VALUE"""),"DETENIDO COMUNIDAD")</f>
        <v>DETENIDO COMUNIDAD</v>
      </c>
      <c r="F1381" s="19"/>
      <c r="G1381" s="19" t="str">
        <f>IFERROR(__xludf.DUMMYFUNCTION("""COMPUTED_VALUE"""),"CV42")</f>
        <v>CV42</v>
      </c>
      <c r="H1381" s="19" t="str">
        <f>IFERROR(__xludf.DUMMYFUNCTION("""COMPUTED_VALUE"""),"INGENIUS")</f>
        <v>INGENIUS</v>
      </c>
      <c r="I1381" s="19" t="str">
        <f>IFERROR(__xludf.DUMMYFUNCTION("""COMPUTED_VALUE"""),"Terminada")</f>
        <v>Terminada</v>
      </c>
      <c r="J1381" s="20">
        <f>IFERROR(__xludf.DUMMYFUNCTION("""COMPUTED_VALUE"""),45042.0)</f>
        <v>45042</v>
      </c>
      <c r="K1381" s="19" t="str">
        <f>IFERROR(__xludf.DUMMYFUNCTION("""COMPUTED_VALUE"""),"En fabricacion")</f>
        <v>En fabricacion</v>
      </c>
      <c r="L1381" s="20">
        <f>IFERROR(__xludf.DUMMYFUNCTION("""COMPUTED_VALUE"""),45124.0)</f>
        <v>45124</v>
      </c>
      <c r="M1381" s="19" t="str">
        <f>IFERROR(__xludf.DUMMYFUNCTION("""COMPUTED_VALUE"""),"PP")</f>
        <v>PP</v>
      </c>
      <c r="N1381" s="19" t="str">
        <f>IFERROR(__xludf.DUMMYFUNCTION("""COMPUTED_VALUE"""),"PRIORIDAD 2 Q4 2023 DICIEMBRE")</f>
        <v>PRIORIDAD 2 Q4 2023 DICIEMBRE</v>
      </c>
    </row>
    <row r="1382" ht="15.75" customHeight="1">
      <c r="A1382" s="19" t="str">
        <f>IFERROR(__xludf.DUMMYFUNCTION("""COMPUTED_VALUE"""),"AB_10037")</f>
        <v>AB_10037</v>
      </c>
      <c r="B1382" s="19" t="str">
        <f>IFERROR(__xludf.DUMMYFUNCTION("""COMPUTED_VALUE"""),"AB_10037_A")</f>
        <v>AB_10037_A</v>
      </c>
      <c r="C1382" s="19" t="str">
        <f>IFERROR(__xludf.DUMMYFUNCTION("""COMPUTED_VALUE"""),"AN10037")</f>
        <v>AN10037</v>
      </c>
      <c r="D1382" s="19" t="str">
        <f>IFERROR(__xludf.DUMMYFUNCTION("""COMPUTED_VALUE"""),"Volcan El Laco")</f>
        <v>Volcan El Laco</v>
      </c>
      <c r="E1382" s="19" t="str">
        <f>IFERROR(__xludf.DUMMYFUNCTION("""COMPUTED_VALUE"""),"DETENIDO COMUNIDAD")</f>
        <v>DETENIDO COMUNIDAD</v>
      </c>
      <c r="F1382" s="19"/>
      <c r="G1382" s="19" t="str">
        <f>IFERROR(__xludf.DUMMYFUNCTION("""COMPUTED_VALUE"""),"CV42")</f>
        <v>CV42</v>
      </c>
      <c r="H1382" s="19" t="str">
        <f>IFERROR(__xludf.DUMMYFUNCTION("""COMPUTED_VALUE"""),"COMPRAS")</f>
        <v>COMPRAS</v>
      </c>
      <c r="I1382" s="19"/>
      <c r="J1382" s="20"/>
      <c r="K1382" s="19"/>
      <c r="L1382" s="20"/>
      <c r="M1382" s="19" t="str">
        <f>IFERROR(__xludf.DUMMYFUNCTION("""COMPUTED_VALUE"""),"PP")</f>
        <v>PP</v>
      </c>
      <c r="N1382" s="19" t="str">
        <f>IFERROR(__xludf.DUMMYFUNCTION("""COMPUTED_VALUE"""),"PRIORIDAD 2 Q4 2023 DICIEMBRE")</f>
        <v>PRIORIDAD 2 Q4 2023 DICIEMBRE</v>
      </c>
    </row>
    <row r="1383" ht="15.75" customHeight="1">
      <c r="A1383" s="19" t="str">
        <f>IFERROR(__xludf.DUMMYFUNCTION("""COMPUTED_VALUE"""),"AB_10038")</f>
        <v>AB_10038</v>
      </c>
      <c r="B1383" s="19" t="str">
        <f>IFERROR(__xludf.DUMMYFUNCTION("""COMPUTED_VALUE"""),"AB_10038_B")</f>
        <v>AB_10038_B</v>
      </c>
      <c r="C1383" s="19" t="str">
        <f>IFERROR(__xludf.DUMMYFUNCTION("""COMPUTED_VALUE"""),"AN10038")</f>
        <v>AN10038</v>
      </c>
      <c r="D1383" s="19" t="str">
        <f>IFERROR(__xludf.DUMMYFUNCTION("""COMPUTED_VALUE"""),"Chile-Argentina")</f>
        <v>Chile-Argentina</v>
      </c>
      <c r="E1383" s="19" t="str">
        <f>IFERROR(__xludf.DUMMYFUNCTION("""COMPUTED_VALUE"""),"DETENIDO COMUNIDAD")</f>
        <v>DETENIDO COMUNIDAD</v>
      </c>
      <c r="F1383" s="19"/>
      <c r="G1383" s="19" t="str">
        <f>IFERROR(__xludf.DUMMYFUNCTION("""COMPUTED_VALUE"""),"AS60 (H)")</f>
        <v>AS60 (H)</v>
      </c>
      <c r="H1383" s="19" t="str">
        <f>IFERROR(__xludf.DUMMYFUNCTION("""COMPUTED_VALUE"""),"MER")</f>
        <v>MER</v>
      </c>
      <c r="I1383" s="19" t="str">
        <f>IFERROR(__xludf.DUMMYFUNCTION("""COMPUTED_VALUE"""),"Terminada")</f>
        <v>Terminada</v>
      </c>
      <c r="J1383" s="20">
        <f>IFERROR(__xludf.DUMMYFUNCTION("""COMPUTED_VALUE"""),45012.0)</f>
        <v>45012</v>
      </c>
      <c r="K1383" s="19" t="str">
        <f>IFERROR(__xludf.DUMMYFUNCTION("""COMPUTED_VALUE"""),"Por pintar ")</f>
        <v>Por pintar </v>
      </c>
      <c r="L1383" s="20">
        <f>IFERROR(__xludf.DUMMYFUNCTION("""COMPUTED_VALUE"""),45012.0)</f>
        <v>45012</v>
      </c>
      <c r="M1383" s="19" t="str">
        <f>IFERROR(__xludf.DUMMYFUNCTION("""COMPUTED_VALUE"""),"PP")</f>
        <v>PP</v>
      </c>
      <c r="N1383" s="19" t="str">
        <f>IFERROR(__xludf.DUMMYFUNCTION("""COMPUTED_VALUE"""),"PRIORIDAD 2 Q4 2023 DICIEMBRE")</f>
        <v>PRIORIDAD 2 Q4 2023 DICIEMBRE</v>
      </c>
    </row>
    <row r="1384" ht="15.75" customHeight="1">
      <c r="A1384" s="19" t="str">
        <f>IFERROR(__xludf.DUMMYFUNCTION("""COMPUTED_VALUE"""),"AB_10039")</f>
        <v>AB_10039</v>
      </c>
      <c r="B1384" s="19" t="str">
        <f>IFERROR(__xludf.DUMMYFUNCTION("""COMPUTED_VALUE"""),"AB_10039_A")</f>
        <v>AB_10039_A</v>
      </c>
      <c r="C1384" s="19" t="str">
        <f>IFERROR(__xludf.DUMMYFUNCTION("""COMPUTED_VALUE"""),"AN10039")</f>
        <v>AN10039</v>
      </c>
      <c r="D1384" s="19" t="str">
        <f>IFERROR(__xludf.DUMMYFUNCTION("""COMPUTED_VALUE"""),"Cuesta Barros Aranas")</f>
        <v>Cuesta Barros Aranas</v>
      </c>
      <c r="E1384" s="19" t="str">
        <f>IFERROR(__xludf.DUMMYFUNCTION("""COMPUTED_VALUE"""),"SITIO ASIGNADO")</f>
        <v>SITIO ASIGNADO</v>
      </c>
      <c r="F1384" s="19"/>
      <c r="G1384" s="19" t="str">
        <f>IFERROR(__xludf.DUMMYFUNCTION("""COMPUTED_VALUE"""),"AS42")</f>
        <v>AS42</v>
      </c>
      <c r="H1384" s="19" t="str">
        <f>IFERROR(__xludf.DUMMYFUNCTION("""COMPUTED_VALUE"""),"JTI")</f>
        <v>JTI</v>
      </c>
      <c r="I1384" s="19" t="str">
        <f>IFERROR(__xludf.DUMMYFUNCTION("""COMPUTED_VALUE"""),"Terminada")</f>
        <v>Terminada</v>
      </c>
      <c r="J1384" s="20">
        <f>IFERROR(__xludf.DUMMYFUNCTION("""COMPUTED_VALUE"""),44991.0)</f>
        <v>44991</v>
      </c>
      <c r="K1384" s="19" t="str">
        <f>IFERROR(__xludf.DUMMYFUNCTION("""COMPUTED_VALUE"""),"Terminada")</f>
        <v>Terminada</v>
      </c>
      <c r="L1384" s="20">
        <f>IFERROR(__xludf.DUMMYFUNCTION("""COMPUTED_VALUE"""),44991.0)</f>
        <v>44991</v>
      </c>
      <c r="M1384" s="19" t="str">
        <f>IFERROR(__xludf.DUMMYFUNCTION("""COMPUTED_VALUE"""),"PP")</f>
        <v>PP</v>
      </c>
      <c r="N1384" s="19" t="str">
        <f>IFERROR(__xludf.DUMMYFUNCTION("""COMPUTED_VALUE"""),"PRIORIDAD 2 Q4 2023 DICIEMBRE")</f>
        <v>PRIORIDAD 2 Q4 2023 DICIEMBRE</v>
      </c>
    </row>
    <row r="1385" ht="15.75" customHeight="1">
      <c r="A1385" s="19" t="str">
        <f>IFERROR(__xludf.DUMMYFUNCTION("""COMPUTED_VALUE"""),"AB_10040")</f>
        <v>AB_10040</v>
      </c>
      <c r="B1385" s="19" t="str">
        <f>IFERROR(__xludf.DUMMYFUNCTION("""COMPUTED_VALUE"""),"AB_10040_B")</f>
        <v>AB_10040_B</v>
      </c>
      <c r="C1385" s="19" t="str">
        <f>IFERROR(__xludf.DUMMYFUNCTION("""COMPUTED_VALUE"""),"AN10040")</f>
        <v>AN10040</v>
      </c>
      <c r="D1385" s="19" t="str">
        <f>IFERROR(__xludf.DUMMYFUNCTION("""COMPUTED_VALUE"""),"Quebrada Nacimiento")</f>
        <v>Quebrada Nacimiento</v>
      </c>
      <c r="E1385" s="19" t="str">
        <f>IFERROR(__xludf.DUMMYFUNCTION("""COMPUTED_VALUE"""),"DETENIDO COMUNIDAD")</f>
        <v>DETENIDO COMUNIDAD</v>
      </c>
      <c r="F1385" s="19"/>
      <c r="G1385" s="19" t="str">
        <f>IFERROR(__xludf.DUMMYFUNCTION("""COMPUTED_VALUE"""),"CV60")</f>
        <v>CV60</v>
      </c>
      <c r="H1385" s="19" t="str">
        <f>IFERROR(__xludf.DUMMYFUNCTION("""COMPUTED_VALUE"""),"DEPROMET")</f>
        <v>DEPROMET</v>
      </c>
      <c r="I1385" s="19" t="str">
        <f>IFERROR(__xludf.DUMMYFUNCTION("""COMPUTED_VALUE"""),"Terminada")</f>
        <v>Terminada</v>
      </c>
      <c r="J1385" s="20">
        <f>IFERROR(__xludf.DUMMYFUNCTION("""COMPUTED_VALUE"""),45001.0)</f>
        <v>45001</v>
      </c>
      <c r="K1385" s="19" t="str">
        <f>IFERROR(__xludf.DUMMYFUNCTION("""COMPUTED_VALUE"""),"Por pintar ")</f>
        <v>Por pintar </v>
      </c>
      <c r="L1385" s="20">
        <f>IFERROR(__xludf.DUMMYFUNCTION("""COMPUTED_VALUE"""),45044.0)</f>
        <v>45044</v>
      </c>
      <c r="M1385" s="19" t="str">
        <f>IFERROR(__xludf.DUMMYFUNCTION("""COMPUTED_VALUE"""),"PP")</f>
        <v>PP</v>
      </c>
      <c r="N1385" s="19" t="str">
        <f>IFERROR(__xludf.DUMMYFUNCTION("""COMPUTED_VALUE"""),"PRIORIDAD 2 Q4 2023 DICIEMBRE")</f>
        <v>PRIORIDAD 2 Q4 2023 DICIEMBRE</v>
      </c>
    </row>
    <row r="1386" ht="15.75" customHeight="1">
      <c r="A1386" s="19" t="str">
        <f>IFERROR(__xludf.DUMMYFUNCTION("""COMPUTED_VALUE"""),"AB_10041")</f>
        <v>AB_10041</v>
      </c>
      <c r="B1386" s="19" t="str">
        <f>IFERROR(__xludf.DUMMYFUNCTION("""COMPUTED_VALUE"""),"AB_10041_B")</f>
        <v>AB_10041_B</v>
      </c>
      <c r="C1386" s="19" t="str">
        <f>IFERROR(__xludf.DUMMYFUNCTION("""COMPUTED_VALUE"""),"AN10041")</f>
        <v>AN10041</v>
      </c>
      <c r="D1386" s="19" t="str">
        <f>IFERROR(__xludf.DUMMYFUNCTION("""COMPUTED_VALUE"""),"Salar de Aguas Calientes-Volcan Miñiques")</f>
        <v>Salar de Aguas Calientes-Volcan Miñiques</v>
      </c>
      <c r="E1386" s="19" t="str">
        <f>IFERROR(__xludf.DUMMYFUNCTION("""COMPUTED_VALUE"""),"SITIO ASIGNADO")</f>
        <v>SITIO ASIGNADO</v>
      </c>
      <c r="F1386" s="19"/>
      <c r="G1386" s="19" t="str">
        <f>IFERROR(__xludf.DUMMYFUNCTION("""COMPUTED_VALUE"""),"AS42")</f>
        <v>AS42</v>
      </c>
      <c r="H1386" s="19" t="str">
        <f>IFERROR(__xludf.DUMMYFUNCTION("""COMPUTED_VALUE"""),"MER")</f>
        <v>MER</v>
      </c>
      <c r="I1386" s="19" t="str">
        <f>IFERROR(__xludf.DUMMYFUNCTION("""COMPUTED_VALUE"""),"Terminada")</f>
        <v>Terminada</v>
      </c>
      <c r="J1386" s="20">
        <f>IFERROR(__xludf.DUMMYFUNCTION("""COMPUTED_VALUE"""),44862.0)</f>
        <v>44862</v>
      </c>
      <c r="K1386" s="19" t="str">
        <f>IFERROR(__xludf.DUMMYFUNCTION("""COMPUTED_VALUE"""),"Por pintar ")</f>
        <v>Por pintar </v>
      </c>
      <c r="L1386" s="20">
        <f>IFERROR(__xludf.DUMMYFUNCTION("""COMPUTED_VALUE"""),44869.0)</f>
        <v>44869</v>
      </c>
      <c r="M1386" s="19" t="str">
        <f>IFERROR(__xludf.DUMMYFUNCTION("""COMPUTED_VALUE"""),"PP")</f>
        <v>PP</v>
      </c>
      <c r="N1386" s="19" t="str">
        <f>IFERROR(__xludf.DUMMYFUNCTION("""COMPUTED_VALUE"""),"PRIORIDAD 2 Q4 2023 DICIEMBRE")</f>
        <v>PRIORIDAD 2 Q4 2023 DICIEMBRE</v>
      </c>
    </row>
    <row r="1387" ht="15.75" customHeight="1">
      <c r="A1387" s="19" t="str">
        <f>IFERROR(__xludf.DUMMYFUNCTION("""COMPUTED_VALUE"""),"AB_10042")</f>
        <v>AB_10042</v>
      </c>
      <c r="B1387" s="19" t="str">
        <f>IFERROR(__xludf.DUMMYFUNCTION("""COMPUTED_VALUE"""),"AB_10042_D")</f>
        <v>AB_10042_D</v>
      </c>
      <c r="C1387" s="19" t="str">
        <f>IFERROR(__xludf.DUMMYFUNCTION("""COMPUTED_VALUE"""),"AN10042")</f>
        <v>AN10042</v>
      </c>
      <c r="D1387" s="19" t="str">
        <f>IFERROR(__xludf.DUMMYFUNCTION("""COMPUTED_VALUE"""),"Cerro Toco Norte")</f>
        <v>Cerro Toco Norte</v>
      </c>
      <c r="E1387" s="19" t="str">
        <f>IFERROR(__xludf.DUMMYFUNCTION("""COMPUTED_VALUE"""),"SITIO RFC")</f>
        <v>SITIO RFC</v>
      </c>
      <c r="F1387" s="19"/>
      <c r="G1387" s="19" t="str">
        <f>IFERROR(__xludf.DUMMYFUNCTION("""COMPUTED_VALUE"""),"CV60")</f>
        <v>CV60</v>
      </c>
      <c r="H1387" s="19" t="str">
        <f>IFERROR(__xludf.DUMMYFUNCTION("""COMPUTED_VALUE"""),"DEPROMET")</f>
        <v>DEPROMET</v>
      </c>
      <c r="I1387" s="19" t="str">
        <f>IFERROR(__xludf.DUMMYFUNCTION("""COMPUTED_VALUE"""),"Terminada")</f>
        <v>Terminada</v>
      </c>
      <c r="J1387" s="20">
        <f>IFERROR(__xludf.DUMMYFUNCTION("""COMPUTED_VALUE"""),45001.0)</f>
        <v>45001</v>
      </c>
      <c r="K1387" s="19" t="str">
        <f>IFERROR(__xludf.DUMMYFUNCTION("""COMPUTED_VALUE"""),"Por pintar ")</f>
        <v>Por pintar </v>
      </c>
      <c r="L1387" s="20">
        <f>IFERROR(__xludf.DUMMYFUNCTION("""COMPUTED_VALUE"""),45044.0)</f>
        <v>45044</v>
      </c>
      <c r="M1387" s="19" t="str">
        <f>IFERROR(__xludf.DUMMYFUNCTION("""COMPUTED_VALUE"""),"PP")</f>
        <v>PP</v>
      </c>
      <c r="N1387" s="19" t="str">
        <f>IFERROR(__xludf.DUMMYFUNCTION("""COMPUTED_VALUE"""),"PRIORIDAD 2 Q4 2023 DICIEMBRE")</f>
        <v>PRIORIDAD 2 Q4 2023 DICIEMBRE</v>
      </c>
    </row>
    <row r="1388" ht="15.75" customHeight="1">
      <c r="A1388" s="19" t="str">
        <f>IFERROR(__xludf.DUMMYFUNCTION("""COMPUTED_VALUE"""),"AB_10043")</f>
        <v>AB_10043</v>
      </c>
      <c r="B1388" s="19" t="str">
        <f>IFERROR(__xludf.DUMMYFUNCTION("""COMPUTED_VALUE"""),"AB_10043_B")</f>
        <v>AB_10043_B</v>
      </c>
      <c r="C1388" s="19" t="str">
        <f>IFERROR(__xludf.DUMMYFUNCTION("""COMPUTED_VALUE"""),"AN10043")</f>
        <v>AN10043</v>
      </c>
      <c r="D1388" s="19" t="str">
        <f>IFERROR(__xludf.DUMMYFUNCTION("""COMPUTED_VALUE"""),"Cerros de la Pacana")</f>
        <v>Cerros de la Pacana</v>
      </c>
      <c r="E1388" s="19" t="str">
        <f>IFERROR(__xludf.DUMMYFUNCTION("""COMPUTED_VALUE"""),"DETENIDO COMPRA ESTRUCTURA")</f>
        <v>DETENIDO COMPRA ESTRUCTURA</v>
      </c>
      <c r="F1388" s="19"/>
      <c r="G1388" s="19" t="str">
        <f>IFERROR(__xludf.DUMMYFUNCTION("""COMPUTED_VALUE"""),"AS60")</f>
        <v>AS60</v>
      </c>
      <c r="H1388" s="19" t="str">
        <f>IFERROR(__xludf.DUMMYFUNCTION("""COMPUTED_VALUE"""),"COMPRAS")</f>
        <v>COMPRAS</v>
      </c>
      <c r="I1388" s="19"/>
      <c r="J1388" s="19"/>
      <c r="K1388" s="19"/>
      <c r="L1388" s="19"/>
      <c r="M1388" s="19" t="str">
        <f>IFERROR(__xludf.DUMMYFUNCTION("""COMPUTED_VALUE"""),"PP")</f>
        <v>PP</v>
      </c>
      <c r="N1388" s="19" t="str">
        <f>IFERROR(__xludf.DUMMYFUNCTION("""COMPUTED_VALUE"""),"PRIORIDAD 2 Q4 2023 DICIEMBRE")</f>
        <v>PRIORIDAD 2 Q4 2023 DICIEMBRE</v>
      </c>
    </row>
    <row r="1389" ht="15.75" customHeight="1">
      <c r="A1389" s="19" t="str">
        <f>IFERROR(__xludf.DUMMYFUNCTION("""COMPUTED_VALUE"""),"AB_10044")</f>
        <v>AB_10044</v>
      </c>
      <c r="B1389" s="19" t="str">
        <f>IFERROR(__xludf.DUMMYFUNCTION("""COMPUTED_VALUE"""),"AB_10044_B")</f>
        <v>AB_10044_B</v>
      </c>
      <c r="C1389" s="19" t="str">
        <f>IFERROR(__xludf.DUMMYFUNCTION("""COMPUTED_VALUE"""),"AN10044")</f>
        <v>AN10044</v>
      </c>
      <c r="D1389" s="19" t="str">
        <f>IFERROR(__xludf.DUMMYFUNCTION("""COMPUTED_VALUE"""),"Salar laguna de Quisquiro")</f>
        <v>Salar laguna de Quisquiro</v>
      </c>
      <c r="E1389" s="19" t="str">
        <f>IFERROR(__xludf.DUMMYFUNCTION("""COMPUTED_VALUE"""),"DETENIDO SAC")</f>
        <v>DETENIDO SAC</v>
      </c>
      <c r="F1389" s="19"/>
      <c r="G1389" s="19" t="str">
        <f>IFERROR(__xludf.DUMMYFUNCTION("""COMPUTED_VALUE"""),"AS72")</f>
        <v>AS72</v>
      </c>
      <c r="H1389" s="19" t="str">
        <f>IFERROR(__xludf.DUMMYFUNCTION("""COMPUTED_VALUE"""),"COMPRAS")</f>
        <v>COMPRAS</v>
      </c>
      <c r="I1389" s="19"/>
      <c r="J1389" s="19"/>
      <c r="K1389" s="19"/>
      <c r="L1389" s="19"/>
      <c r="M1389" s="19" t="str">
        <f>IFERROR(__xludf.DUMMYFUNCTION("""COMPUTED_VALUE"""),"PP")</f>
        <v>PP</v>
      </c>
      <c r="N1389" s="19" t="str">
        <f>IFERROR(__xludf.DUMMYFUNCTION("""COMPUTED_VALUE"""),"PRIORIDAD 2 Q4 2023 DICIEMBRE")</f>
        <v>PRIORIDAD 2 Q4 2023 DICIEMBRE</v>
      </c>
    </row>
    <row r="1390" ht="15.75" customHeight="1">
      <c r="A1390" s="19" t="str">
        <f>IFERROR(__xludf.DUMMYFUNCTION("""COMPUTED_VALUE"""),"AB_10045")</f>
        <v>AB_10045</v>
      </c>
      <c r="B1390" s="19" t="str">
        <f>IFERROR(__xludf.DUMMYFUNCTION("""COMPUTED_VALUE"""),"AB_10045_A")</f>
        <v>AB_10045_A</v>
      </c>
      <c r="C1390" s="19" t="str">
        <f>IFERROR(__xludf.DUMMYFUNCTION("""COMPUTED_VALUE"""),"AN10045")</f>
        <v>AN10045</v>
      </c>
      <c r="D1390" s="19" t="str">
        <f>IFERROR(__xludf.DUMMYFUNCTION("""COMPUTED_VALUE"""),"Ruta B55")</f>
        <v>Ruta B55</v>
      </c>
      <c r="E1390" s="19" t="str">
        <f>IFERROR(__xludf.DUMMYFUNCTION("""COMPUTED_VALUE"""),"SITIO EN CONSTRUCCION")</f>
        <v>SITIO EN CONSTRUCCION</v>
      </c>
      <c r="F1390" s="19" t="str">
        <f>IFERROR(__xludf.DUMMYFUNCTION("""COMPUTED_VALUE"""),"EXCAVACION")</f>
        <v>EXCAVACION</v>
      </c>
      <c r="G1390" s="19" t="str">
        <f>IFERROR(__xludf.DUMMYFUNCTION("""COMPUTED_VALUE"""),"AS48")</f>
        <v>AS48</v>
      </c>
      <c r="H1390" s="19" t="str">
        <f>IFERROR(__xludf.DUMMYFUNCTION("""COMPUTED_VALUE"""),"JTI")</f>
        <v>JTI</v>
      </c>
      <c r="I1390" s="19" t="str">
        <f>IFERROR(__xludf.DUMMYFUNCTION("""COMPUTED_VALUE"""),"Entregada")</f>
        <v>Entregada</v>
      </c>
      <c r="J1390" s="20">
        <f>IFERROR(__xludf.DUMMYFUNCTION("""COMPUTED_VALUE"""),45014.0)</f>
        <v>45014</v>
      </c>
      <c r="K1390" s="19" t="str">
        <f>IFERROR(__xludf.DUMMYFUNCTION("""COMPUTED_VALUE"""),"Entregada")</f>
        <v>Entregada</v>
      </c>
      <c r="L1390" s="20">
        <f>IFERROR(__xludf.DUMMYFUNCTION("""COMPUTED_VALUE"""),45014.0)</f>
        <v>45014</v>
      </c>
      <c r="M1390" s="19" t="str">
        <f>IFERROR(__xludf.DUMMYFUNCTION("""COMPUTED_VALUE"""),"PP")</f>
        <v>PP</v>
      </c>
      <c r="N1390" s="19" t="str">
        <f>IFERROR(__xludf.DUMMYFUNCTION("""COMPUTED_VALUE"""),"PRIORIDAD 2 Q4 2023 DICIEMBRE")</f>
        <v>PRIORIDAD 2 Q4 2023 DICIEMBRE</v>
      </c>
    </row>
    <row r="1391" ht="15.75" customHeight="1">
      <c r="A1391" s="19" t="str">
        <f>IFERROR(__xludf.DUMMYFUNCTION("""COMPUTED_VALUE"""),"AB_10046")</f>
        <v>AB_10046</v>
      </c>
      <c r="B1391" s="19" t="str">
        <f>IFERROR(__xludf.DUMMYFUNCTION("""COMPUTED_VALUE"""),"AB_10046_A")</f>
        <v>AB_10046_A</v>
      </c>
      <c r="C1391" s="19" t="str">
        <f>IFERROR(__xludf.DUMMYFUNCTION("""COMPUTED_VALUE"""),"AN10046")</f>
        <v>AN10046</v>
      </c>
      <c r="D1391" s="19" t="str">
        <f>IFERROR(__xludf.DUMMYFUNCTION("""COMPUTED_VALUE"""),"Estacion Yungay Ruta B55")</f>
        <v>Estacion Yungay Ruta B55</v>
      </c>
      <c r="E1391" s="19" t="str">
        <f>IFERROR(__xludf.DUMMYFUNCTION("""COMPUTED_VALUE"""),"SITIO RFI")</f>
        <v>SITIO RFI</v>
      </c>
      <c r="F1391" s="19" t="str">
        <f>IFERROR(__xludf.DUMMYFUNCTION("""COMPUTED_VALUE"""),"RFI")</f>
        <v>RFI</v>
      </c>
      <c r="G1391" s="19" t="str">
        <f>IFERROR(__xludf.DUMMYFUNCTION("""COMPUTED_VALUE"""),"AS48")</f>
        <v>AS48</v>
      </c>
      <c r="H1391" s="19" t="str">
        <f>IFERROR(__xludf.DUMMYFUNCTION("""COMPUTED_VALUE"""),"METALING")</f>
        <v>METALING</v>
      </c>
      <c r="I1391" s="19" t="str">
        <f>IFERROR(__xludf.DUMMYFUNCTION("""COMPUTED_VALUE"""),"Entregada")</f>
        <v>Entregada</v>
      </c>
      <c r="J1391" s="20">
        <f>IFERROR(__xludf.DUMMYFUNCTION("""COMPUTED_VALUE"""),44883.0)</f>
        <v>44883</v>
      </c>
      <c r="K1391" s="19" t="str">
        <f>IFERROR(__xludf.DUMMYFUNCTION("""COMPUTED_VALUE"""),"Entregada")</f>
        <v>Entregada</v>
      </c>
      <c r="L1391" s="20">
        <f>IFERROR(__xludf.DUMMYFUNCTION("""COMPUTED_VALUE"""),44978.0)</f>
        <v>44978</v>
      </c>
      <c r="M1391" s="19" t="str">
        <f>IFERROR(__xludf.DUMMYFUNCTION("""COMPUTED_VALUE"""),"PP")</f>
        <v>PP</v>
      </c>
      <c r="N1391" s="19" t="str">
        <f>IFERROR(__xludf.DUMMYFUNCTION("""COMPUTED_VALUE"""),"PRIORIDAD 2 Q4 2023 DICIEMBRE")</f>
        <v>PRIORIDAD 2 Q4 2023 DICIEMBRE</v>
      </c>
    </row>
    <row r="1392" ht="15.75" customHeight="1">
      <c r="A1392" s="19" t="str">
        <f>IFERROR(__xludf.DUMMYFUNCTION("""COMPUTED_VALUE"""),"AB_10047")</f>
        <v>AB_10047</v>
      </c>
      <c r="B1392" s="19" t="str">
        <f>IFERROR(__xludf.DUMMYFUNCTION("""COMPUTED_VALUE"""),"AB_10047_A")</f>
        <v>AB_10047_A</v>
      </c>
      <c r="C1392" s="19" t="str">
        <f>IFERROR(__xludf.DUMMYFUNCTION("""COMPUTED_VALUE"""),"AN10047")</f>
        <v>AN10047</v>
      </c>
      <c r="D1392" s="19" t="str">
        <f>IFERROR(__xludf.DUMMYFUNCTION("""COMPUTED_VALUE"""),"Cerro Trapecio")</f>
        <v>Cerro Trapecio</v>
      </c>
      <c r="E1392" s="19" t="str">
        <f>IFERROR(__xludf.DUMMYFUNCTION("""COMPUTED_VALUE"""),"SITIO RFI")</f>
        <v>SITIO RFI</v>
      </c>
      <c r="F1392" s="19" t="str">
        <f>IFERROR(__xludf.DUMMYFUNCTION("""COMPUTED_VALUE"""),"MONTAJE")</f>
        <v>MONTAJE</v>
      </c>
      <c r="G1392" s="19" t="str">
        <f>IFERROR(__xludf.DUMMYFUNCTION("""COMPUTED_VALUE"""),"AS60")</f>
        <v>AS60</v>
      </c>
      <c r="H1392" s="19" t="str">
        <f>IFERROR(__xludf.DUMMYFUNCTION("""COMPUTED_VALUE"""),"MER")</f>
        <v>MER</v>
      </c>
      <c r="I1392" s="19" t="str">
        <f>IFERROR(__xludf.DUMMYFUNCTION("""COMPUTED_VALUE"""),"Entregada")</f>
        <v>Entregada</v>
      </c>
      <c r="J1392" s="20">
        <f>IFERROR(__xludf.DUMMYFUNCTION("""COMPUTED_VALUE"""),44876.0)</f>
        <v>44876</v>
      </c>
      <c r="K1392" s="19" t="str">
        <f>IFERROR(__xludf.DUMMYFUNCTION("""COMPUTED_VALUE"""),"Entregada")</f>
        <v>Entregada</v>
      </c>
      <c r="L1392" s="20">
        <f>IFERROR(__xludf.DUMMYFUNCTION("""COMPUTED_VALUE"""),44904.0)</f>
        <v>44904</v>
      </c>
      <c r="M1392" s="19" t="str">
        <f>IFERROR(__xludf.DUMMYFUNCTION("""COMPUTED_VALUE"""),"PP")</f>
        <v>PP</v>
      </c>
      <c r="N1392" s="19" t="str">
        <f>IFERROR(__xludf.DUMMYFUNCTION("""COMPUTED_VALUE"""),"PRIORIDAD 2 Q4 2023 DICIEMBRE")</f>
        <v>PRIORIDAD 2 Q4 2023 DICIEMBRE</v>
      </c>
    </row>
    <row r="1393" ht="15.75" customHeight="1">
      <c r="A1393" s="19" t="str">
        <f>IFERROR(__xludf.DUMMYFUNCTION("""COMPUTED_VALUE"""),"AB_10048")</f>
        <v>AB_10048</v>
      </c>
      <c r="B1393" s="19" t="str">
        <f>IFERROR(__xludf.DUMMYFUNCTION("""COMPUTED_VALUE"""),"AB_10048_A")</f>
        <v>AB_10048_A</v>
      </c>
      <c r="C1393" s="19" t="str">
        <f>IFERROR(__xludf.DUMMYFUNCTION("""COMPUTED_VALUE"""),"AN10048")</f>
        <v>AN10048</v>
      </c>
      <c r="D1393" s="19" t="str">
        <f>IFERROR(__xludf.DUMMYFUNCTION("""COMPUTED_VALUE"""),"Estacion Augusta Victoria")</f>
        <v>Estacion Augusta Victoria</v>
      </c>
      <c r="E1393" s="19" t="str">
        <f>IFERROR(__xludf.DUMMYFUNCTION("""COMPUTED_VALUE"""),"SITIO RFC")</f>
        <v>SITIO RFC</v>
      </c>
      <c r="F1393" s="19"/>
      <c r="G1393" s="19" t="str">
        <f>IFERROR(__xludf.DUMMYFUNCTION("""COMPUTED_VALUE"""),"CV48")</f>
        <v>CV48</v>
      </c>
      <c r="H1393" s="19" t="str">
        <f>IFERROR(__xludf.DUMMYFUNCTION("""COMPUTED_VALUE"""),"INCOSERV")</f>
        <v>INCOSERV</v>
      </c>
      <c r="I1393" s="19" t="str">
        <f>IFERROR(__xludf.DUMMYFUNCTION("""COMPUTED_VALUE"""),"Terminada")</f>
        <v>Terminada</v>
      </c>
      <c r="J1393" s="20">
        <f>IFERROR(__xludf.DUMMYFUNCTION("""COMPUTED_VALUE"""),45034.0)</f>
        <v>45034</v>
      </c>
      <c r="K1393" s="19" t="str">
        <f>IFERROR(__xludf.DUMMYFUNCTION("""COMPUTED_VALUE"""),"Por pintar ")</f>
        <v>Por pintar </v>
      </c>
      <c r="L1393" s="20">
        <f>IFERROR(__xludf.DUMMYFUNCTION("""COMPUTED_VALUE"""),45066.0)</f>
        <v>45066</v>
      </c>
      <c r="M1393" s="19" t="str">
        <f>IFERROR(__xludf.DUMMYFUNCTION("""COMPUTED_VALUE"""),"PP")</f>
        <v>PP</v>
      </c>
      <c r="N1393" s="19" t="str">
        <f>IFERROR(__xludf.DUMMYFUNCTION("""COMPUTED_VALUE"""),"PRIORIDAD 2 Q4 2023 DICIEMBRE")</f>
        <v>PRIORIDAD 2 Q4 2023 DICIEMBRE</v>
      </c>
    </row>
    <row r="1394" ht="15.75" customHeight="1">
      <c r="A1394" s="19" t="str">
        <f>IFERROR(__xludf.DUMMYFUNCTION("""COMPUTED_VALUE"""),"AB_10049")</f>
        <v>AB_10049</v>
      </c>
      <c r="B1394" s="19" t="str">
        <f>IFERROR(__xludf.DUMMYFUNCTION("""COMPUTED_VALUE"""),"AB_10049_A")</f>
        <v>AB_10049_A</v>
      </c>
      <c r="C1394" s="19" t="str">
        <f>IFERROR(__xludf.DUMMYFUNCTION("""COMPUTED_VALUE"""),"AN10049")</f>
        <v>AN10049</v>
      </c>
      <c r="D1394" s="19" t="str">
        <f>IFERROR(__xludf.DUMMYFUNCTION("""COMPUTED_VALUE"""),"Estacion Varillas-Minera Escondida")</f>
        <v>Estacion Varillas-Minera Escondida</v>
      </c>
      <c r="E1394" s="19" t="str">
        <f>IFERROR(__xludf.DUMMYFUNCTION("""COMPUTED_VALUE"""),"SITIO RFC")</f>
        <v>SITIO RFC</v>
      </c>
      <c r="F1394" s="19"/>
      <c r="G1394" s="19" t="str">
        <f>IFERROR(__xludf.DUMMYFUNCTION("""COMPUTED_VALUE"""),"CV48")</f>
        <v>CV48</v>
      </c>
      <c r="H1394" s="19" t="str">
        <f>IFERROR(__xludf.DUMMYFUNCTION("""COMPUTED_VALUE"""),"INCOSERV")</f>
        <v>INCOSERV</v>
      </c>
      <c r="I1394" s="19" t="str">
        <f>IFERROR(__xludf.DUMMYFUNCTION("""COMPUTED_VALUE"""),"Terminada")</f>
        <v>Terminada</v>
      </c>
      <c r="J1394" s="20">
        <f>IFERROR(__xludf.DUMMYFUNCTION("""COMPUTED_VALUE"""),45034.0)</f>
        <v>45034</v>
      </c>
      <c r="K1394" s="19" t="str">
        <f>IFERROR(__xludf.DUMMYFUNCTION("""COMPUTED_VALUE"""),"Terminada")</f>
        <v>Terminada</v>
      </c>
      <c r="L1394" s="20">
        <f>IFERROR(__xludf.DUMMYFUNCTION("""COMPUTED_VALUE"""),45066.0)</f>
        <v>45066</v>
      </c>
      <c r="M1394" s="19" t="str">
        <f>IFERROR(__xludf.DUMMYFUNCTION("""COMPUTED_VALUE"""),"PP")</f>
        <v>PP</v>
      </c>
      <c r="N1394" s="19" t="str">
        <f>IFERROR(__xludf.DUMMYFUNCTION("""COMPUTED_VALUE"""),"PRIORIDAD 2 Q4 2023 DICIEMBRE")</f>
        <v>PRIORIDAD 2 Q4 2023 DICIEMBRE</v>
      </c>
    </row>
    <row r="1395" ht="15.75" customHeight="1">
      <c r="A1395" s="19" t="str">
        <f>IFERROR(__xludf.DUMMYFUNCTION("""COMPUTED_VALUE"""),"AB_10050")</f>
        <v>AB_10050</v>
      </c>
      <c r="B1395" s="19" t="str">
        <f>IFERROR(__xludf.DUMMYFUNCTION("""COMPUTED_VALUE"""),"AB_10050_A")</f>
        <v>AB_10050_A</v>
      </c>
      <c r="C1395" s="19" t="str">
        <f>IFERROR(__xludf.DUMMYFUNCTION("""COMPUTED_VALUE"""),"AN10050")</f>
        <v>AN10050</v>
      </c>
      <c r="D1395" s="19" t="str">
        <f>IFERROR(__xludf.DUMMYFUNCTION("""COMPUTED_VALUE"""),"Estacion Imilac")</f>
        <v>Estacion Imilac</v>
      </c>
      <c r="E1395" s="19" t="str">
        <f>IFERROR(__xludf.DUMMYFUNCTION("""COMPUTED_VALUE"""),"SITIO EN CONSTRUCCION")</f>
        <v>SITIO EN CONSTRUCCION</v>
      </c>
      <c r="F1395" s="19" t="str">
        <f>IFERROR(__xludf.DUMMYFUNCTION("""COMPUTED_VALUE"""),"VISITA")</f>
        <v>VISITA</v>
      </c>
      <c r="G1395" s="19" t="str">
        <f>IFERROR(__xludf.DUMMYFUNCTION("""COMPUTED_VALUE"""),"AS48")</f>
        <v>AS48</v>
      </c>
      <c r="H1395" s="19" t="str">
        <f>IFERROR(__xludf.DUMMYFUNCTION("""COMPUTED_VALUE"""),"JTI")</f>
        <v>JTI</v>
      </c>
      <c r="I1395" s="19" t="str">
        <f>IFERROR(__xludf.DUMMYFUNCTION("""COMPUTED_VALUE"""),"Entregada")</f>
        <v>Entregada</v>
      </c>
      <c r="J1395" s="20">
        <f>IFERROR(__xludf.DUMMYFUNCTION("""COMPUTED_VALUE"""),45014.0)</f>
        <v>45014</v>
      </c>
      <c r="K1395" s="19" t="str">
        <f>IFERROR(__xludf.DUMMYFUNCTION("""COMPUTED_VALUE"""),"Entregada")</f>
        <v>Entregada</v>
      </c>
      <c r="L1395" s="20">
        <f>IFERROR(__xludf.DUMMYFUNCTION("""COMPUTED_VALUE"""),45014.0)</f>
        <v>45014</v>
      </c>
      <c r="M1395" s="19" t="str">
        <f>IFERROR(__xludf.DUMMYFUNCTION("""COMPUTED_VALUE"""),"PP")</f>
        <v>PP</v>
      </c>
      <c r="N1395" s="19" t="str">
        <f>IFERROR(__xludf.DUMMYFUNCTION("""COMPUTED_VALUE"""),"PRIORIDAD 2 Q4 2023 DICIEMBRE")</f>
        <v>PRIORIDAD 2 Q4 2023 DICIEMBRE</v>
      </c>
    </row>
    <row r="1396" ht="15.75" customHeight="1">
      <c r="A1396" s="19" t="str">
        <f>IFERROR(__xludf.DUMMYFUNCTION("""COMPUTED_VALUE"""),"AB_10051")</f>
        <v>AB_10051</v>
      </c>
      <c r="B1396" s="19" t="str">
        <f>IFERROR(__xludf.DUMMYFUNCTION("""COMPUTED_VALUE"""),"AB_10051_A")</f>
        <v>AB_10051_A</v>
      </c>
      <c r="C1396" s="19" t="str">
        <f>IFERROR(__xludf.DUMMYFUNCTION("""COMPUTED_VALUE"""),"AN10051")</f>
        <v>AN10051</v>
      </c>
      <c r="D1396" s="19" t="str">
        <f>IFERROR(__xludf.DUMMYFUNCTION("""COMPUTED_VALUE"""),"Cruce B241")</f>
        <v>Cruce B241</v>
      </c>
      <c r="E1396" s="19" t="str">
        <f>IFERROR(__xludf.DUMMYFUNCTION("""COMPUTED_VALUE"""),"SITIO ASIGNADO")</f>
        <v>SITIO ASIGNADO</v>
      </c>
      <c r="F1396" s="19" t="str">
        <f>IFERROR(__xludf.DUMMYFUNCTION("""COMPUTED_VALUE"""),"VISITA")</f>
        <v>VISITA</v>
      </c>
      <c r="G1396" s="19" t="str">
        <f>IFERROR(__xludf.DUMMYFUNCTION("""COMPUTED_VALUE"""),"AS48")</f>
        <v>AS48</v>
      </c>
      <c r="H1396" s="19" t="str">
        <f>IFERROR(__xludf.DUMMYFUNCTION("""COMPUTED_VALUE"""),"JTI")</f>
        <v>JTI</v>
      </c>
      <c r="I1396" s="19" t="str">
        <f>IFERROR(__xludf.DUMMYFUNCTION("""COMPUTED_VALUE"""),"Terminada")</f>
        <v>Terminada</v>
      </c>
      <c r="J1396" s="20">
        <f>IFERROR(__xludf.DUMMYFUNCTION("""COMPUTED_VALUE"""),45034.0)</f>
        <v>45034</v>
      </c>
      <c r="K1396" s="19" t="str">
        <f>IFERROR(__xludf.DUMMYFUNCTION("""COMPUTED_VALUE"""),"Por pintar ")</f>
        <v>Por pintar </v>
      </c>
      <c r="L1396" s="20">
        <f>IFERROR(__xludf.DUMMYFUNCTION("""COMPUTED_VALUE"""),45044.0)</f>
        <v>45044</v>
      </c>
      <c r="M1396" s="19" t="str">
        <f>IFERROR(__xludf.DUMMYFUNCTION("""COMPUTED_VALUE"""),"PP")</f>
        <v>PP</v>
      </c>
      <c r="N1396" s="19" t="str">
        <f>IFERROR(__xludf.DUMMYFUNCTION("""COMPUTED_VALUE"""),"PRIORIDAD 2 Q4 2023 DICIEMBRE")</f>
        <v>PRIORIDAD 2 Q4 2023 DICIEMBRE</v>
      </c>
    </row>
    <row r="1397" ht="15.75" customHeight="1">
      <c r="A1397" s="19" t="str">
        <f>IFERROR(__xludf.DUMMYFUNCTION("""COMPUTED_VALUE"""),"AB_10052")</f>
        <v>AB_10052</v>
      </c>
      <c r="B1397" s="19" t="str">
        <f>IFERROR(__xludf.DUMMYFUNCTION("""COMPUTED_VALUE"""),"AB_10052_A")</f>
        <v>AB_10052_A</v>
      </c>
      <c r="C1397" s="19" t="str">
        <f>IFERROR(__xludf.DUMMYFUNCTION("""COMPUTED_VALUE"""),"AN10052")</f>
        <v>AN10052</v>
      </c>
      <c r="D1397" s="19"/>
      <c r="E1397" s="19" t="str">
        <f>IFERROR(__xludf.DUMMYFUNCTION("""COMPUTED_VALUE"""),"SITIO ASIGNADO")</f>
        <v>SITIO ASIGNADO</v>
      </c>
      <c r="F1397" s="19"/>
      <c r="G1397" s="19" t="str">
        <f>IFERROR(__xludf.DUMMYFUNCTION("""COMPUTED_VALUE"""),"CV48")</f>
        <v>CV48</v>
      </c>
      <c r="H1397" s="19" t="str">
        <f>IFERROR(__xludf.DUMMYFUNCTION("""COMPUTED_VALUE"""),"MER")</f>
        <v>MER</v>
      </c>
      <c r="I1397" s="19" t="str">
        <f>IFERROR(__xludf.DUMMYFUNCTION("""COMPUTED_VALUE"""),"Terminada")</f>
        <v>Terminada</v>
      </c>
      <c r="J1397" s="20">
        <f>IFERROR(__xludf.DUMMYFUNCTION("""COMPUTED_VALUE"""),45051.0)</f>
        <v>45051</v>
      </c>
      <c r="K1397" s="19" t="str">
        <f>IFERROR(__xludf.DUMMYFUNCTION("""COMPUTED_VALUE"""),"Por pintar ")</f>
        <v>Por pintar </v>
      </c>
      <c r="L1397" s="20">
        <f>IFERROR(__xludf.DUMMYFUNCTION("""COMPUTED_VALUE"""),45054.0)</f>
        <v>45054</v>
      </c>
      <c r="M1397" s="19" t="str">
        <f>IFERROR(__xludf.DUMMYFUNCTION("""COMPUTED_VALUE"""),"PP")</f>
        <v>PP</v>
      </c>
      <c r="N1397" s="19" t="str">
        <f>IFERROR(__xludf.DUMMYFUNCTION("""COMPUTED_VALUE"""),"PRIORIDAD 2 Q4 2023 DICIEMBRE")</f>
        <v>PRIORIDAD 2 Q4 2023 DICIEMBRE</v>
      </c>
    </row>
    <row r="1398" ht="15.75" customHeight="1">
      <c r="A1398" s="19" t="str">
        <f>IFERROR(__xludf.DUMMYFUNCTION("""COMPUTED_VALUE"""),"AB_10053")</f>
        <v>AB_10053</v>
      </c>
      <c r="B1398" s="19" t="str">
        <f>IFERROR(__xludf.DUMMYFUNCTION("""COMPUTED_VALUE"""),"AB_10053_A")</f>
        <v>AB_10053_A</v>
      </c>
      <c r="C1398" s="19" t="str">
        <f>IFERROR(__xludf.DUMMYFUNCTION("""COMPUTED_VALUE"""),"AN10053")</f>
        <v>AN10053</v>
      </c>
      <c r="D1398" s="19" t="str">
        <f>IFERROR(__xludf.DUMMYFUNCTION("""COMPUTED_VALUE"""),"Cerro Punta Gruesa")</f>
        <v>Cerro Punta Gruesa</v>
      </c>
      <c r="E1398" s="19" t="str">
        <f>IFERROR(__xludf.DUMMYFUNCTION("""COMPUTED_VALUE"""),"SITIO ASIGNADO")</f>
        <v>SITIO ASIGNADO</v>
      </c>
      <c r="F1398" s="19"/>
      <c r="G1398" s="19" t="str">
        <f>IFERROR(__xludf.DUMMYFUNCTION("""COMPUTED_VALUE"""),"CV48")</f>
        <v>CV48</v>
      </c>
      <c r="H1398" s="19" t="str">
        <f>IFERROR(__xludf.DUMMYFUNCTION("""COMPUTED_VALUE"""),"INCOSERV")</f>
        <v>INCOSERV</v>
      </c>
      <c r="I1398" s="19" t="str">
        <f>IFERROR(__xludf.DUMMYFUNCTION("""COMPUTED_VALUE"""),"Terminada")</f>
        <v>Terminada</v>
      </c>
      <c r="J1398" s="20">
        <f>IFERROR(__xludf.DUMMYFUNCTION("""COMPUTED_VALUE"""),45034.0)</f>
        <v>45034</v>
      </c>
      <c r="K1398" s="19" t="str">
        <f>IFERROR(__xludf.DUMMYFUNCTION("""COMPUTED_VALUE"""),"Por pintar ")</f>
        <v>Por pintar </v>
      </c>
      <c r="L1398" s="20">
        <f>IFERROR(__xludf.DUMMYFUNCTION("""COMPUTED_VALUE"""),45100.0)</f>
        <v>45100</v>
      </c>
      <c r="M1398" s="19" t="str">
        <f>IFERROR(__xludf.DUMMYFUNCTION("""COMPUTED_VALUE"""),"PP")</f>
        <v>PP</v>
      </c>
      <c r="N1398" s="19" t="str">
        <f>IFERROR(__xludf.DUMMYFUNCTION("""COMPUTED_VALUE"""),"PRIORIDAD 2 Q4 2023 DICIEMBRE")</f>
        <v>PRIORIDAD 2 Q4 2023 DICIEMBRE</v>
      </c>
    </row>
    <row r="1399" ht="15.75" customHeight="1">
      <c r="A1399" s="19" t="str">
        <f>IFERROR(__xludf.DUMMYFUNCTION("""COMPUTED_VALUE"""),"AB_10054")</f>
        <v>AB_10054</v>
      </c>
      <c r="B1399" s="19" t="str">
        <f>IFERROR(__xludf.DUMMYFUNCTION("""COMPUTED_VALUE"""),"AB_10054_A")</f>
        <v>AB_10054_A</v>
      </c>
      <c r="C1399" s="19" t="str">
        <f>IFERROR(__xludf.DUMMYFUNCTION("""COMPUTED_VALUE"""),"AN10054")</f>
        <v>AN10054</v>
      </c>
      <c r="D1399" s="19" t="str">
        <f>IFERROR(__xludf.DUMMYFUNCTION("""COMPUTED_VALUE"""),"Ruinas B55 Ruta")</f>
        <v>Ruinas B55 Ruta</v>
      </c>
      <c r="E1399" s="19" t="str">
        <f>IFERROR(__xludf.DUMMYFUNCTION("""COMPUTED_VALUE"""),"SITIO EN CONSTRUCCION")</f>
        <v>SITIO EN CONSTRUCCION</v>
      </c>
      <c r="F1399" s="19" t="str">
        <f>IFERROR(__xludf.DUMMYFUNCTION("""COMPUTED_VALUE"""),"EXCAVACION")</f>
        <v>EXCAVACION</v>
      </c>
      <c r="G1399" s="19" t="str">
        <f>IFERROR(__xludf.DUMMYFUNCTION("""COMPUTED_VALUE"""),"CV48")</f>
        <v>CV48</v>
      </c>
      <c r="H1399" s="19" t="str">
        <f>IFERROR(__xludf.DUMMYFUNCTION("""COMPUTED_VALUE"""),"MER")</f>
        <v>MER</v>
      </c>
      <c r="I1399" s="19" t="str">
        <f>IFERROR(__xludf.DUMMYFUNCTION("""COMPUTED_VALUE"""),"Entregada")</f>
        <v>Entregada</v>
      </c>
      <c r="J1399" s="20">
        <f>IFERROR(__xludf.DUMMYFUNCTION("""COMPUTED_VALUE"""),45051.0)</f>
        <v>45051</v>
      </c>
      <c r="K1399" s="19" t="str">
        <f>IFERROR(__xludf.DUMMYFUNCTION("""COMPUTED_VALUE"""),"Entregada")</f>
        <v>Entregada</v>
      </c>
      <c r="L1399" s="20">
        <f>IFERROR(__xludf.DUMMYFUNCTION("""COMPUTED_VALUE"""),45054.0)</f>
        <v>45054</v>
      </c>
      <c r="M1399" s="19" t="str">
        <f>IFERROR(__xludf.DUMMYFUNCTION("""COMPUTED_VALUE"""),"PP")</f>
        <v>PP</v>
      </c>
      <c r="N1399" s="19" t="str">
        <f>IFERROR(__xludf.DUMMYFUNCTION("""COMPUTED_VALUE"""),"PRIORIDAD 2 Q4 2023 DICIEMBRE")</f>
        <v>PRIORIDAD 2 Q4 2023 DICIEMBRE</v>
      </c>
    </row>
    <row r="1400" ht="15.75" customHeight="1">
      <c r="A1400" s="19" t="str">
        <f>IFERROR(__xludf.DUMMYFUNCTION("""COMPUTED_VALUE"""),"AB_10055")</f>
        <v>AB_10055</v>
      </c>
      <c r="B1400" s="19" t="str">
        <f>IFERROR(__xludf.DUMMYFUNCTION("""COMPUTED_VALUE"""),"AB_10055_B")</f>
        <v>AB_10055_B</v>
      </c>
      <c r="C1400" s="19" t="str">
        <f>IFERROR(__xludf.DUMMYFUNCTION("""COMPUTED_VALUE"""),"AN10055")</f>
        <v>AN10055</v>
      </c>
      <c r="D1400" s="19" t="str">
        <f>IFERROR(__xludf.DUMMYFUNCTION("""COMPUTED_VALUE"""),"Estacion Alcalde Poblete")</f>
        <v>Estacion Alcalde Poblete</v>
      </c>
      <c r="E1400" s="19" t="str">
        <f>IFERROR(__xludf.DUMMYFUNCTION("""COMPUTED_VALUE"""),"SITIO RFC")</f>
        <v>SITIO RFC</v>
      </c>
      <c r="F1400" s="19"/>
      <c r="G1400" s="19" t="str">
        <f>IFERROR(__xludf.DUMMYFUNCTION("""COMPUTED_VALUE"""),"CV48")</f>
        <v>CV48</v>
      </c>
      <c r="H1400" s="19" t="str">
        <f>IFERROR(__xludf.DUMMYFUNCTION("""COMPUTED_VALUE"""),"INCOSERV")</f>
        <v>INCOSERV</v>
      </c>
      <c r="I1400" s="19" t="str">
        <f>IFERROR(__xludf.DUMMYFUNCTION("""COMPUTED_VALUE"""),"Terminada")</f>
        <v>Terminada</v>
      </c>
      <c r="J1400" s="20">
        <f>IFERROR(__xludf.DUMMYFUNCTION("""COMPUTED_VALUE"""),45034.0)</f>
        <v>45034</v>
      </c>
      <c r="K1400" s="19" t="str">
        <f>IFERROR(__xludf.DUMMYFUNCTION("""COMPUTED_VALUE"""),"Por pintar ")</f>
        <v>Por pintar </v>
      </c>
      <c r="L1400" s="20">
        <f>IFERROR(__xludf.DUMMYFUNCTION("""COMPUTED_VALUE"""),45066.0)</f>
        <v>45066</v>
      </c>
      <c r="M1400" s="19" t="str">
        <f>IFERROR(__xludf.DUMMYFUNCTION("""COMPUTED_VALUE"""),"PP")</f>
        <v>PP</v>
      </c>
      <c r="N1400" s="19" t="str">
        <f>IFERROR(__xludf.DUMMYFUNCTION("""COMPUTED_VALUE"""),"PRIORIDAD 2 Q4 2023 DICIEMBRE")</f>
        <v>PRIORIDAD 2 Q4 2023 DICIEMBRE</v>
      </c>
    </row>
    <row r="1401" ht="15.75" customHeight="1">
      <c r="A1401" s="19" t="str">
        <f>IFERROR(__xludf.DUMMYFUNCTION("""COMPUTED_VALUE"""),"AB_10056")</f>
        <v>AB_10056</v>
      </c>
      <c r="B1401" s="19" t="str">
        <f>IFERROR(__xludf.DUMMYFUNCTION("""COMPUTED_VALUE"""),"AB_10056_A")</f>
        <v>AB_10056_A</v>
      </c>
      <c r="C1401" s="19" t="str">
        <f>IFERROR(__xludf.DUMMYFUNCTION("""COMPUTED_VALUE"""),"AN10056")</f>
        <v>AN10056</v>
      </c>
      <c r="D1401" s="19" t="str">
        <f>IFERROR(__xludf.DUMMYFUNCTION("""COMPUTED_VALUE"""),"Cristales de Laja")</f>
        <v>Cristales de Laja</v>
      </c>
      <c r="E1401" s="19" t="str">
        <f>IFERROR(__xludf.DUMMYFUNCTION("""COMPUTED_VALUE"""),"SITIO RFC")</f>
        <v>SITIO RFC</v>
      </c>
      <c r="F1401" s="19"/>
      <c r="G1401" s="19" t="str">
        <f>IFERROR(__xludf.DUMMYFUNCTION("""COMPUTED_VALUE"""),"CV60")</f>
        <v>CV60</v>
      </c>
      <c r="H1401" s="19" t="str">
        <f>IFERROR(__xludf.DUMMYFUNCTION("""COMPUTED_VALUE"""),"INCOSERV")</f>
        <v>INCOSERV</v>
      </c>
      <c r="I1401" s="19" t="str">
        <f>IFERROR(__xludf.DUMMYFUNCTION("""COMPUTED_VALUE"""),"Asignada")</f>
        <v>Asignada</v>
      </c>
      <c r="J1401" s="20">
        <f>IFERROR(__xludf.DUMMYFUNCTION("""COMPUTED_VALUE"""),45163.0)</f>
        <v>45163</v>
      </c>
      <c r="K1401" s="19" t="str">
        <f>IFERROR(__xludf.DUMMYFUNCTION("""COMPUTED_VALUE"""),"Asignada")</f>
        <v>Asignada</v>
      </c>
      <c r="L1401" s="20">
        <f>IFERROR(__xludf.DUMMYFUNCTION("""COMPUTED_VALUE"""),45198.0)</f>
        <v>45198</v>
      </c>
      <c r="M1401" s="19" t="str">
        <f>IFERROR(__xludf.DUMMYFUNCTION("""COMPUTED_VALUE"""),"PP")</f>
        <v>PP</v>
      </c>
      <c r="N1401" s="19" t="str">
        <f>IFERROR(__xludf.DUMMYFUNCTION("""COMPUTED_VALUE"""),"PRIORIDAD 2 Q4 2023 DICIEMBRE")</f>
        <v>PRIORIDAD 2 Q4 2023 DICIEMBRE</v>
      </c>
    </row>
    <row r="1402" ht="15.75" customHeight="1">
      <c r="A1402" s="19" t="str">
        <f>IFERROR(__xludf.DUMMYFUNCTION("""COMPUTED_VALUE"""),"AB_10057")</f>
        <v>AB_10057</v>
      </c>
      <c r="B1402" s="19" t="str">
        <f>IFERROR(__xludf.DUMMYFUNCTION("""COMPUTED_VALUE"""),"AB_10057_A")</f>
        <v>AB_10057_A</v>
      </c>
      <c r="C1402" s="19" t="str">
        <f>IFERROR(__xludf.DUMMYFUNCTION("""COMPUTED_VALUE"""),"AN10057")</f>
        <v>AN10057</v>
      </c>
      <c r="D1402" s="19" t="str">
        <f>IFERROR(__xludf.DUMMYFUNCTION("""COMPUTED_VALUE"""),"Ruta B-55 Antofagasta - Socompa")</f>
        <v>Ruta B-55 Antofagasta - Socompa</v>
      </c>
      <c r="E1402" s="19" t="str">
        <f>IFERROR(__xludf.DUMMYFUNCTION("""COMPUTED_VALUE"""),"DETENIDO COMPRA ESTRUCTURA")</f>
        <v>DETENIDO COMPRA ESTRUCTURA</v>
      </c>
      <c r="F1402" s="19"/>
      <c r="G1402" s="19" t="str">
        <f>IFERROR(__xludf.DUMMYFUNCTION("""COMPUTED_VALUE"""),"AS48")</f>
        <v>AS48</v>
      </c>
      <c r="H1402" s="19" t="str">
        <f>IFERROR(__xludf.DUMMYFUNCTION("""COMPUTED_VALUE"""),"COMPRAS")</f>
        <v>COMPRAS</v>
      </c>
      <c r="I1402" s="19"/>
      <c r="J1402" s="19"/>
      <c r="K1402" s="19"/>
      <c r="L1402" s="19"/>
      <c r="M1402" s="19" t="str">
        <f>IFERROR(__xludf.DUMMYFUNCTION("""COMPUTED_VALUE"""),"PP")</f>
        <v>PP</v>
      </c>
      <c r="N1402" s="19" t="str">
        <f>IFERROR(__xludf.DUMMYFUNCTION("""COMPUTED_VALUE"""),"PRIORIDAD 2 Q4 2023 DICIEMBRE")</f>
        <v>PRIORIDAD 2 Q4 2023 DICIEMBRE</v>
      </c>
    </row>
    <row r="1403" ht="15.75" customHeight="1">
      <c r="A1403" s="19" t="str">
        <f>IFERROR(__xludf.DUMMYFUNCTION("""COMPUTED_VALUE"""),"AB_10058")</f>
        <v>AB_10058</v>
      </c>
      <c r="B1403" s="19" t="str">
        <f>IFERROR(__xludf.DUMMYFUNCTION("""COMPUTED_VALUE"""),"AB_10058_A")</f>
        <v>AB_10058_A</v>
      </c>
      <c r="C1403" s="19" t="str">
        <f>IFERROR(__xludf.DUMMYFUNCTION("""COMPUTED_VALUE"""),"AN10058")</f>
        <v>AN10058</v>
      </c>
      <c r="D1403" s="19" t="str">
        <f>IFERROR(__xludf.DUMMYFUNCTION("""COMPUTED_VALUE"""),"Salar de Imilac")</f>
        <v>Salar de Imilac</v>
      </c>
      <c r="E1403" s="19" t="str">
        <f>IFERROR(__xludf.DUMMYFUNCTION("""COMPUTED_VALUE"""),"DETENIDO FUERA DE PLAN")</f>
        <v>DETENIDO FUERA DE PLAN</v>
      </c>
      <c r="F1403" s="19"/>
      <c r="G1403" s="19" t="str">
        <f>IFERROR(__xludf.DUMMYFUNCTION("""COMPUTED_VALUE"""),"x")</f>
        <v>x</v>
      </c>
      <c r="H1403" s="19" t="str">
        <f>IFERROR(__xludf.DUMMYFUNCTION("""COMPUTED_VALUE"""),"x")</f>
        <v>x</v>
      </c>
      <c r="I1403" s="19" t="str">
        <f>IFERROR(__xludf.DUMMYFUNCTION("""COMPUTED_VALUE"""),"x")</f>
        <v>x</v>
      </c>
      <c r="J1403" s="20" t="str">
        <f>IFERROR(__xludf.DUMMYFUNCTION("""COMPUTED_VALUE"""),"x")</f>
        <v>x</v>
      </c>
      <c r="K1403" s="19" t="str">
        <f>IFERROR(__xludf.DUMMYFUNCTION("""COMPUTED_VALUE"""),"x")</f>
        <v>x</v>
      </c>
      <c r="L1403" s="20" t="str">
        <f>IFERROR(__xludf.DUMMYFUNCTION("""COMPUTED_VALUE"""),"x")</f>
        <v>x</v>
      </c>
      <c r="M1403" s="19" t="str">
        <f>IFERROR(__xludf.DUMMYFUNCTION("""COMPUTED_VALUE"""),"PP")</f>
        <v>PP</v>
      </c>
      <c r="N1403" s="19" t="str">
        <f>IFERROR(__xludf.DUMMYFUNCTION("""COMPUTED_VALUE"""),"PRIORIDAD 2 Q4 2023 DICIEMBRE")</f>
        <v>PRIORIDAD 2 Q4 2023 DICIEMBRE</v>
      </c>
    </row>
    <row r="1404" ht="15.75" customHeight="1">
      <c r="A1404" s="19" t="str">
        <f>IFERROR(__xludf.DUMMYFUNCTION("""COMPUTED_VALUE"""),"AB_10059")</f>
        <v>AB_10059</v>
      </c>
      <c r="B1404" s="19" t="str">
        <f>IFERROR(__xludf.DUMMYFUNCTION("""COMPUTED_VALUE"""),"AB_10059_A")</f>
        <v>AB_10059_A</v>
      </c>
      <c r="C1404" s="19" t="str">
        <f>IFERROR(__xludf.DUMMYFUNCTION("""COMPUTED_VALUE"""),"AN10059")</f>
        <v>AN10059</v>
      </c>
      <c r="D1404" s="19" t="str">
        <f>IFERROR(__xludf.DUMMYFUNCTION("""COMPUTED_VALUE"""),"Estacion Adolfo Zaldivar")</f>
        <v>Estacion Adolfo Zaldivar</v>
      </c>
      <c r="E1404" s="19" t="str">
        <f>IFERROR(__xludf.DUMMYFUNCTION("""COMPUTED_VALUE"""),"SITIO PENDIENTE")</f>
        <v>SITIO PENDIENTE</v>
      </c>
      <c r="F1404" s="19"/>
      <c r="G1404" s="19"/>
      <c r="H1404" s="19"/>
      <c r="I1404" s="19"/>
      <c r="J1404" s="20"/>
      <c r="K1404" s="19"/>
      <c r="L1404" s="20"/>
      <c r="M1404" s="19" t="str">
        <f>IFERROR(__xludf.DUMMYFUNCTION("""COMPUTED_VALUE"""),"PP")</f>
        <v>PP</v>
      </c>
      <c r="N1404" s="19" t="str">
        <f>IFERROR(__xludf.DUMMYFUNCTION("""COMPUTED_VALUE"""),"PRIORIDAD 2 Q4 2023 DICIEMBRE")</f>
        <v>PRIORIDAD 2 Q4 2023 DICIEMBRE</v>
      </c>
    </row>
    <row r="1405" ht="15.75" customHeight="1">
      <c r="A1405" s="19" t="str">
        <f>IFERROR(__xludf.DUMMYFUNCTION("""COMPUTED_VALUE"""),"AB_10060")</f>
        <v>AB_10060</v>
      </c>
      <c r="B1405" s="19" t="str">
        <f>IFERROR(__xludf.DUMMYFUNCTION("""COMPUTED_VALUE"""),"AB_10060_A")</f>
        <v>AB_10060_A</v>
      </c>
      <c r="C1405" s="19" t="str">
        <f>IFERROR(__xludf.DUMMYFUNCTION("""COMPUTED_VALUE"""),"AN10060")</f>
        <v>AN10060</v>
      </c>
      <c r="D1405" s="19" t="str">
        <f>IFERROR(__xludf.DUMMYFUNCTION("""COMPUTED_VALUE"""),"Punta Moreno El Cobre")</f>
        <v>Punta Moreno El Cobre</v>
      </c>
      <c r="E1405" s="19" t="str">
        <f>IFERROR(__xludf.DUMMYFUNCTION("""COMPUTED_VALUE"""),"SITIO ASIGNADO")</f>
        <v>SITIO ASIGNADO</v>
      </c>
      <c r="F1405" s="19"/>
      <c r="G1405" s="19" t="str">
        <f>IFERROR(__xludf.DUMMYFUNCTION("""COMPUTED_VALUE"""),"AS48")</f>
        <v>AS48</v>
      </c>
      <c r="H1405" s="19" t="str">
        <f>IFERROR(__xludf.DUMMYFUNCTION("""COMPUTED_VALUE"""),"JTI")</f>
        <v>JTI</v>
      </c>
      <c r="I1405" s="19" t="str">
        <f>IFERROR(__xludf.DUMMYFUNCTION("""COMPUTED_VALUE"""),"Terminada")</f>
        <v>Terminada</v>
      </c>
      <c r="J1405" s="20">
        <f>IFERROR(__xludf.DUMMYFUNCTION("""COMPUTED_VALUE"""),45014.0)</f>
        <v>45014</v>
      </c>
      <c r="K1405" s="19" t="str">
        <f>IFERROR(__xludf.DUMMYFUNCTION("""COMPUTED_VALUE"""),"Por pintar ")</f>
        <v>Por pintar </v>
      </c>
      <c r="L1405" s="20">
        <f>IFERROR(__xludf.DUMMYFUNCTION("""COMPUTED_VALUE"""),45014.0)</f>
        <v>45014</v>
      </c>
      <c r="M1405" s="19" t="str">
        <f>IFERROR(__xludf.DUMMYFUNCTION("""COMPUTED_VALUE"""),"PP")</f>
        <v>PP</v>
      </c>
      <c r="N1405" s="19" t="str">
        <f>IFERROR(__xludf.DUMMYFUNCTION("""COMPUTED_VALUE"""),"PRIORIDAD 2 Q4 2023 DICIEMBRE")</f>
        <v>PRIORIDAD 2 Q4 2023 DICIEMBRE</v>
      </c>
    </row>
    <row r="1406" ht="15.75" customHeight="1">
      <c r="A1406" s="19" t="str">
        <f>IFERROR(__xludf.DUMMYFUNCTION("""COMPUTED_VALUE"""),"AB_10061")</f>
        <v>AB_10061</v>
      </c>
      <c r="B1406" s="19" t="str">
        <f>IFERROR(__xludf.DUMMYFUNCTION("""COMPUTED_VALUE"""),"AB_10061_B")</f>
        <v>AB_10061_B</v>
      </c>
      <c r="C1406" s="19" t="str">
        <f>IFERROR(__xludf.DUMMYFUNCTION("""COMPUTED_VALUE"""),"AN10061")</f>
        <v>AN10061</v>
      </c>
      <c r="D1406" s="19" t="str">
        <f>IFERROR(__xludf.DUMMYFUNCTION("""COMPUTED_VALUE"""),"Punta Moreno")</f>
        <v>Punta Moreno</v>
      </c>
      <c r="E1406" s="19" t="str">
        <f>IFERROR(__xludf.DUMMYFUNCTION("""COMPUTED_VALUE"""),"SITIO ASIGNADO")</f>
        <v>SITIO ASIGNADO</v>
      </c>
      <c r="F1406" s="19"/>
      <c r="G1406" s="19" t="str">
        <f>IFERROR(__xludf.DUMMYFUNCTION("""COMPUTED_VALUE"""),"CV48")</f>
        <v>CV48</v>
      </c>
      <c r="H1406" s="19" t="str">
        <f>IFERROR(__xludf.DUMMYFUNCTION("""COMPUTED_VALUE"""),"INCOSERV")</f>
        <v>INCOSERV</v>
      </c>
      <c r="I1406" s="19" t="str">
        <f>IFERROR(__xludf.DUMMYFUNCTION("""COMPUTED_VALUE"""),"Terminada")</f>
        <v>Terminada</v>
      </c>
      <c r="J1406" s="20">
        <f>IFERROR(__xludf.DUMMYFUNCTION("""COMPUTED_VALUE"""),45034.0)</f>
        <v>45034</v>
      </c>
      <c r="K1406" s="19" t="str">
        <f>IFERROR(__xludf.DUMMYFUNCTION("""COMPUTED_VALUE"""),"Por pintar ")</f>
        <v>Por pintar </v>
      </c>
      <c r="L1406" s="20">
        <f>IFERROR(__xludf.DUMMYFUNCTION("""COMPUTED_VALUE"""),45093.0)</f>
        <v>45093</v>
      </c>
      <c r="M1406" s="19" t="str">
        <f>IFERROR(__xludf.DUMMYFUNCTION("""COMPUTED_VALUE"""),"PP")</f>
        <v>PP</v>
      </c>
      <c r="N1406" s="19" t="str">
        <f>IFERROR(__xludf.DUMMYFUNCTION("""COMPUTED_VALUE"""),"PRIORIDAD 2 Q4 2023 DICIEMBRE")</f>
        <v>PRIORIDAD 2 Q4 2023 DICIEMBRE</v>
      </c>
    </row>
    <row r="1407" ht="15.75" customHeight="1">
      <c r="A1407" s="19" t="str">
        <f>IFERROR(__xludf.DUMMYFUNCTION("""COMPUTED_VALUE"""),"AB_10062")</f>
        <v>AB_10062</v>
      </c>
      <c r="B1407" s="19" t="str">
        <f>IFERROR(__xludf.DUMMYFUNCTION("""COMPUTED_VALUE"""),"AB_10062_A")</f>
        <v>AB_10062_A</v>
      </c>
      <c r="C1407" s="19" t="str">
        <f>IFERROR(__xludf.DUMMYFUNCTION("""COMPUTED_VALUE"""),"AN10062")</f>
        <v>AN10062</v>
      </c>
      <c r="D1407" s="19" t="str">
        <f>IFERROR(__xludf.DUMMYFUNCTION("""COMPUTED_VALUE"""),"Peninsula Cangrejos")</f>
        <v>Peninsula Cangrejos</v>
      </c>
      <c r="E1407" s="19" t="str">
        <f>IFERROR(__xludf.DUMMYFUNCTION("""COMPUTED_VALUE"""),"SITIO PENDIENTE")</f>
        <v>SITIO PENDIENTE</v>
      </c>
      <c r="F1407" s="19"/>
      <c r="G1407" s="19" t="str">
        <f>IFERROR(__xludf.DUMMYFUNCTION("""COMPUTED_VALUE"""),"MP R40")</f>
        <v>MP R40</v>
      </c>
      <c r="H1407" s="19" t="str">
        <f>IFERROR(__xludf.DUMMYFUNCTION("""COMPUTED_VALUE"""),"COMPRAS")</f>
        <v>COMPRAS</v>
      </c>
      <c r="I1407" s="19"/>
      <c r="J1407" s="20"/>
      <c r="K1407" s="19"/>
      <c r="L1407" s="20"/>
      <c r="M1407" s="19" t="str">
        <f>IFERROR(__xludf.DUMMYFUNCTION("""COMPUTED_VALUE"""),"PP")</f>
        <v>PP</v>
      </c>
      <c r="N1407" s="19" t="str">
        <f>IFERROR(__xludf.DUMMYFUNCTION("""COMPUTED_VALUE"""),"PRIORIDAD 2 Q4 2023 DICIEMBRE")</f>
        <v>PRIORIDAD 2 Q4 2023 DICIEMBRE</v>
      </c>
    </row>
    <row r="1408" ht="15.75" customHeight="1">
      <c r="A1408" s="19" t="str">
        <f>IFERROR(__xludf.DUMMYFUNCTION("""COMPUTED_VALUE"""),"AB_10063")</f>
        <v>AB_10063</v>
      </c>
      <c r="B1408" s="19" t="str">
        <f>IFERROR(__xludf.DUMMYFUNCTION("""COMPUTED_VALUE"""),"AB_10063_A")</f>
        <v>AB_10063_A</v>
      </c>
      <c r="C1408" s="19" t="str">
        <f>IFERROR(__xludf.DUMMYFUNCTION("""COMPUTED_VALUE"""),"AN10063")</f>
        <v>AN10063</v>
      </c>
      <c r="D1408" s="19" t="str">
        <f>IFERROR(__xludf.DUMMYFUNCTION("""COMPUTED_VALUE"""),"Punta Tragagente")</f>
        <v>Punta Tragagente</v>
      </c>
      <c r="E1408" s="19" t="str">
        <f>IFERROR(__xludf.DUMMYFUNCTION("""COMPUTED_VALUE"""),"SITIO PENDIENTE")</f>
        <v>SITIO PENDIENTE</v>
      </c>
      <c r="F1408" s="19"/>
      <c r="G1408" s="19" t="str">
        <f>IFERROR(__xludf.DUMMYFUNCTION("""COMPUTED_VALUE"""),"x")</f>
        <v>x</v>
      </c>
      <c r="H1408" s="19" t="str">
        <f>IFERROR(__xludf.DUMMYFUNCTION("""COMPUTED_VALUE"""),"x")</f>
        <v>x</v>
      </c>
      <c r="I1408" s="19" t="str">
        <f>IFERROR(__xludf.DUMMYFUNCTION("""COMPUTED_VALUE"""),"x")</f>
        <v>x</v>
      </c>
      <c r="J1408" s="20" t="str">
        <f>IFERROR(__xludf.DUMMYFUNCTION("""COMPUTED_VALUE"""),"x")</f>
        <v>x</v>
      </c>
      <c r="K1408" s="19" t="str">
        <f>IFERROR(__xludf.DUMMYFUNCTION("""COMPUTED_VALUE"""),"x")</f>
        <v>x</v>
      </c>
      <c r="L1408" s="20" t="str">
        <f>IFERROR(__xludf.DUMMYFUNCTION("""COMPUTED_VALUE"""),"x")</f>
        <v>x</v>
      </c>
      <c r="M1408" s="19" t="str">
        <f>IFERROR(__xludf.DUMMYFUNCTION("""COMPUTED_VALUE"""),"PP")</f>
        <v>PP</v>
      </c>
      <c r="N1408" s="19" t="str">
        <f>IFERROR(__xludf.DUMMYFUNCTION("""COMPUTED_VALUE"""),"PRIORIDAD 3 Q1 2024 MARZO")</f>
        <v>PRIORIDAD 3 Q1 2024 MARZO</v>
      </c>
    </row>
    <row r="1409" ht="15.75" customHeight="1">
      <c r="A1409" s="19" t="str">
        <f>IFERROR(__xludf.DUMMYFUNCTION("""COMPUTED_VALUE"""),"AB_10064")</f>
        <v>AB_10064</v>
      </c>
      <c r="B1409" s="19" t="str">
        <f>IFERROR(__xludf.DUMMYFUNCTION("""COMPUTED_VALUE"""),"AB_10064_A")</f>
        <v>AB_10064_A</v>
      </c>
      <c r="C1409" s="19" t="str">
        <f>IFERROR(__xludf.DUMMYFUNCTION("""COMPUTED_VALUE"""),"AN10064")</f>
        <v>AN10064</v>
      </c>
      <c r="D1409" s="19" t="str">
        <f>IFERROR(__xludf.DUMMYFUNCTION("""COMPUTED_VALUE"""),"Caleta Botija")</f>
        <v>Caleta Botija</v>
      </c>
      <c r="E1409" s="19" t="str">
        <f>IFERROR(__xludf.DUMMYFUNCTION("""COMPUTED_VALUE"""),"SITIO PENDIENTE")</f>
        <v>SITIO PENDIENTE</v>
      </c>
      <c r="F1409" s="19"/>
      <c r="G1409" s="19" t="str">
        <f>IFERROR(__xludf.DUMMYFUNCTION("""COMPUTED_VALUE"""),"CV48")</f>
        <v>CV48</v>
      </c>
      <c r="H1409" s="19" t="str">
        <f>IFERROR(__xludf.DUMMYFUNCTION("""COMPUTED_VALUE"""),"")</f>
        <v/>
      </c>
      <c r="I1409" s="19" t="str">
        <f>IFERROR(__xludf.DUMMYFUNCTION("""COMPUTED_VALUE"""),"")</f>
        <v/>
      </c>
      <c r="J1409" s="20" t="str">
        <f>IFERROR(__xludf.DUMMYFUNCTION("""COMPUTED_VALUE"""),"")</f>
        <v/>
      </c>
      <c r="K1409" s="19" t="str">
        <f>IFERROR(__xludf.DUMMYFUNCTION("""COMPUTED_VALUE"""),"")</f>
        <v/>
      </c>
      <c r="L1409" s="20" t="str">
        <f>IFERROR(__xludf.DUMMYFUNCTION("""COMPUTED_VALUE"""),"")</f>
        <v/>
      </c>
      <c r="M1409" s="19" t="str">
        <f>IFERROR(__xludf.DUMMYFUNCTION("""COMPUTED_VALUE"""),"PP")</f>
        <v>PP</v>
      </c>
      <c r="N1409" s="19" t="str">
        <f>IFERROR(__xludf.DUMMYFUNCTION("""COMPUTED_VALUE"""),"PRIORIDAD 3 Q1 2024 MARZO")</f>
        <v>PRIORIDAD 3 Q1 2024 MARZO</v>
      </c>
    </row>
    <row r="1410" ht="15.75" customHeight="1">
      <c r="A1410" s="19" t="str">
        <f>IFERROR(__xludf.DUMMYFUNCTION("""COMPUTED_VALUE"""),"AB_10065")</f>
        <v>AB_10065</v>
      </c>
      <c r="B1410" s="19" t="str">
        <f>IFERROR(__xludf.DUMMYFUNCTION("""COMPUTED_VALUE"""),"AB_10065_A")</f>
        <v>AB_10065_A</v>
      </c>
      <c r="C1410" s="19" t="str">
        <f>IFERROR(__xludf.DUMMYFUNCTION("""COMPUTED_VALUE"""),"AN10065")</f>
        <v>AN10065</v>
      </c>
      <c r="D1410" s="19" t="str">
        <f>IFERROR(__xludf.DUMMYFUNCTION("""COMPUTED_VALUE"""),"Punta Dos reyes")</f>
        <v>Punta Dos reyes</v>
      </c>
      <c r="E1410" s="19" t="str">
        <f>IFERROR(__xludf.DUMMYFUNCTION("""COMPUTED_VALUE"""),"SITIO PENDIENTE")</f>
        <v>SITIO PENDIENTE</v>
      </c>
      <c r="F1410" s="19"/>
      <c r="G1410" s="19" t="str">
        <f>IFERROR(__xludf.DUMMYFUNCTION("""COMPUTED_VALUE"""),"x")</f>
        <v>x</v>
      </c>
      <c r="H1410" s="19" t="str">
        <f>IFERROR(__xludf.DUMMYFUNCTION("""COMPUTED_VALUE"""),"x")</f>
        <v>x</v>
      </c>
      <c r="I1410" s="19" t="str">
        <f>IFERROR(__xludf.DUMMYFUNCTION("""COMPUTED_VALUE"""),"x")</f>
        <v>x</v>
      </c>
      <c r="J1410" s="20" t="str">
        <f>IFERROR(__xludf.DUMMYFUNCTION("""COMPUTED_VALUE"""),"x")</f>
        <v>x</v>
      </c>
      <c r="K1410" s="19" t="str">
        <f>IFERROR(__xludf.DUMMYFUNCTION("""COMPUTED_VALUE"""),"x")</f>
        <v>x</v>
      </c>
      <c r="L1410" s="20" t="str">
        <f>IFERROR(__xludf.DUMMYFUNCTION("""COMPUTED_VALUE"""),"x")</f>
        <v>x</v>
      </c>
      <c r="M1410" s="19" t="str">
        <f>IFERROR(__xludf.DUMMYFUNCTION("""COMPUTED_VALUE"""),"PP")</f>
        <v>PP</v>
      </c>
      <c r="N1410" s="19" t="str">
        <f>IFERROR(__xludf.DUMMYFUNCTION("""COMPUTED_VALUE"""),"PRIORIDAD 3 Q1 2024 MARZO")</f>
        <v>PRIORIDAD 3 Q1 2024 MARZO</v>
      </c>
    </row>
    <row r="1411" ht="15.75" customHeight="1">
      <c r="A1411" s="19" t="str">
        <f>IFERROR(__xludf.DUMMYFUNCTION("""COMPUTED_VALUE"""),"AB_10066")</f>
        <v>AB_10066</v>
      </c>
      <c r="B1411" s="19" t="str">
        <f>IFERROR(__xludf.DUMMYFUNCTION("""COMPUTED_VALUE"""),"AB_10066_A")</f>
        <v>AB_10066_A</v>
      </c>
      <c r="C1411" s="19" t="str">
        <f>IFERROR(__xludf.DUMMYFUNCTION("""COMPUTED_VALUE"""),"AN10066")</f>
        <v>AN10066</v>
      </c>
      <c r="D1411" s="19" t="str">
        <f>IFERROR(__xludf.DUMMYFUNCTION("""COMPUTED_VALUE"""),"Punta Piedra Ruta 1")</f>
        <v>Punta Piedra Ruta 1</v>
      </c>
      <c r="E1411" s="19" t="str">
        <f>IFERROR(__xludf.DUMMYFUNCTION("""COMPUTED_VALUE"""),"SITIO PENDIENTE")</f>
        <v>SITIO PENDIENTE</v>
      </c>
      <c r="F1411" s="19"/>
      <c r="G1411" s="19" t="str">
        <f>IFERROR(__xludf.DUMMYFUNCTION("""COMPUTED_VALUE"""),"CV60")</f>
        <v>CV60</v>
      </c>
      <c r="H1411" s="19" t="str">
        <f>IFERROR(__xludf.DUMMYFUNCTION("""COMPUTED_VALUE"""),"")</f>
        <v/>
      </c>
      <c r="I1411" s="19" t="str">
        <f>IFERROR(__xludf.DUMMYFUNCTION("""COMPUTED_VALUE"""),"")</f>
        <v/>
      </c>
      <c r="J1411" s="20" t="str">
        <f>IFERROR(__xludf.DUMMYFUNCTION("""COMPUTED_VALUE"""),"")</f>
        <v/>
      </c>
      <c r="K1411" s="19" t="str">
        <f>IFERROR(__xludf.DUMMYFUNCTION("""COMPUTED_VALUE"""),"")</f>
        <v/>
      </c>
      <c r="L1411" s="20" t="str">
        <f>IFERROR(__xludf.DUMMYFUNCTION("""COMPUTED_VALUE"""),"")</f>
        <v/>
      </c>
      <c r="M1411" s="19" t="str">
        <f>IFERROR(__xludf.DUMMYFUNCTION("""COMPUTED_VALUE"""),"PP")</f>
        <v>PP</v>
      </c>
      <c r="N1411" s="19" t="str">
        <f>IFERROR(__xludf.DUMMYFUNCTION("""COMPUTED_VALUE"""),"PRIORIDAD 3 Q1 2024 MARZO")</f>
        <v>PRIORIDAD 3 Q1 2024 MARZO</v>
      </c>
    </row>
    <row r="1412" ht="15.75" customHeight="1">
      <c r="A1412" s="19" t="str">
        <f>IFERROR(__xludf.DUMMYFUNCTION("""COMPUTED_VALUE"""),"AB_10067")</f>
        <v>AB_10067</v>
      </c>
      <c r="B1412" s="19" t="str">
        <f>IFERROR(__xludf.DUMMYFUNCTION("""COMPUTED_VALUE"""),"AB_10067_A")</f>
        <v>AB_10067_A</v>
      </c>
      <c r="C1412" s="19" t="str">
        <f>IFERROR(__xludf.DUMMYFUNCTION("""COMPUTED_VALUE"""),"AN10067")</f>
        <v>AN10067</v>
      </c>
      <c r="D1412" s="19" t="str">
        <f>IFERROR(__xludf.DUMMYFUNCTION("""COMPUTED_VALUE"""),"Punta Plata Ruta 1")</f>
        <v>Punta Plata Ruta 1</v>
      </c>
      <c r="E1412" s="19" t="str">
        <f>IFERROR(__xludf.DUMMYFUNCTION("""COMPUTED_VALUE"""),"SITIO ASIGNADO")</f>
        <v>SITIO ASIGNADO</v>
      </c>
      <c r="F1412" s="19"/>
      <c r="G1412" s="19" t="str">
        <f>IFERROR(__xludf.DUMMYFUNCTION("""COMPUTED_VALUE"""),"CV48")</f>
        <v>CV48</v>
      </c>
      <c r="H1412" s="19" t="str">
        <f>IFERROR(__xludf.DUMMYFUNCTION("""COMPUTED_VALUE"""),"MER")</f>
        <v>MER</v>
      </c>
      <c r="I1412" s="19" t="str">
        <f>IFERROR(__xludf.DUMMYFUNCTION("""COMPUTED_VALUE"""),"Terminada")</f>
        <v>Terminada</v>
      </c>
      <c r="J1412" s="20">
        <f>IFERROR(__xludf.DUMMYFUNCTION("""COMPUTED_VALUE"""),45051.0)</f>
        <v>45051</v>
      </c>
      <c r="K1412" s="19" t="str">
        <f>IFERROR(__xludf.DUMMYFUNCTION("""COMPUTED_VALUE"""),"Por pintar ")</f>
        <v>Por pintar </v>
      </c>
      <c r="L1412" s="20">
        <f>IFERROR(__xludf.DUMMYFUNCTION("""COMPUTED_VALUE"""),45054.0)</f>
        <v>45054</v>
      </c>
      <c r="M1412" s="19" t="str">
        <f>IFERROR(__xludf.DUMMYFUNCTION("""COMPUTED_VALUE"""),"PP")</f>
        <v>PP</v>
      </c>
      <c r="N1412" s="19" t="str">
        <f>IFERROR(__xludf.DUMMYFUNCTION("""COMPUTED_VALUE"""),"PRIORIDAD 3 Q1 2024 MARZO")</f>
        <v>PRIORIDAD 3 Q1 2024 MARZO</v>
      </c>
    </row>
    <row r="1413" ht="15.75" customHeight="1">
      <c r="A1413" s="19" t="str">
        <f>IFERROR(__xludf.DUMMYFUNCTION("""COMPUTED_VALUE"""),"AB_10068")</f>
        <v>AB_10068</v>
      </c>
      <c r="B1413" s="19" t="str">
        <f>IFERROR(__xludf.DUMMYFUNCTION("""COMPUTED_VALUE"""),"AB_10068_A")</f>
        <v>AB_10068_A</v>
      </c>
      <c r="C1413" s="19" t="str">
        <f>IFERROR(__xludf.DUMMYFUNCTION("""COMPUTED_VALUE"""),"AN10068")</f>
        <v>AN10068</v>
      </c>
      <c r="D1413" s="19" t="str">
        <f>IFERROR(__xludf.DUMMYFUNCTION("""COMPUTED_VALUE"""),"Punta Posallaves")</f>
        <v>Punta Posallaves</v>
      </c>
      <c r="E1413" s="19" t="str">
        <f>IFERROR(__xludf.DUMMYFUNCTION("""COMPUTED_VALUE"""),"SITIO PENDIENTE")</f>
        <v>SITIO PENDIENTE</v>
      </c>
      <c r="F1413" s="19"/>
      <c r="G1413" s="19" t="str">
        <f>IFERROR(__xludf.DUMMYFUNCTION("""COMPUTED_VALUE"""),"CV60")</f>
        <v>CV60</v>
      </c>
      <c r="H1413" s="19" t="str">
        <f>IFERROR(__xludf.DUMMYFUNCTION("""COMPUTED_VALUE"""),"")</f>
        <v/>
      </c>
      <c r="I1413" s="19" t="str">
        <f>IFERROR(__xludf.DUMMYFUNCTION("""COMPUTED_VALUE"""),"")</f>
        <v/>
      </c>
      <c r="J1413" s="20" t="str">
        <f>IFERROR(__xludf.DUMMYFUNCTION("""COMPUTED_VALUE"""),"")</f>
        <v/>
      </c>
      <c r="K1413" s="19" t="str">
        <f>IFERROR(__xludf.DUMMYFUNCTION("""COMPUTED_VALUE"""),"")</f>
        <v/>
      </c>
      <c r="L1413" s="20" t="str">
        <f>IFERROR(__xludf.DUMMYFUNCTION("""COMPUTED_VALUE"""),"")</f>
        <v/>
      </c>
      <c r="M1413" s="19" t="str">
        <f>IFERROR(__xludf.DUMMYFUNCTION("""COMPUTED_VALUE"""),"PP")</f>
        <v>PP</v>
      </c>
      <c r="N1413" s="19" t="str">
        <f>IFERROR(__xludf.DUMMYFUNCTION("""COMPUTED_VALUE"""),"PRIORIDAD 3 Q1 2024 MARZO")</f>
        <v>PRIORIDAD 3 Q1 2024 MARZO</v>
      </c>
    </row>
    <row r="1414" ht="15.75" customHeight="1">
      <c r="A1414" s="19" t="str">
        <f>IFERROR(__xludf.DUMMYFUNCTION("""COMPUTED_VALUE"""),"AB_10069")</f>
        <v>AB_10069</v>
      </c>
      <c r="B1414" s="19" t="str">
        <f>IFERROR(__xludf.DUMMYFUNCTION("""COMPUTED_VALUE"""),"AB_10069_A")</f>
        <v>AB_10069_A</v>
      </c>
      <c r="C1414" s="19" t="str">
        <f>IFERROR(__xludf.DUMMYFUNCTION("""COMPUTED_VALUE"""),"AN10069")</f>
        <v>AN10069</v>
      </c>
      <c r="D1414" s="19" t="str">
        <f>IFERROR(__xludf.DUMMYFUNCTION("""COMPUTED_VALUE"""),"Paposo")</f>
        <v>Paposo</v>
      </c>
      <c r="E1414" s="19" t="str">
        <f>IFERROR(__xludf.DUMMYFUNCTION("""COMPUTED_VALUE"""),"SITIO PENDIENTE")</f>
        <v>SITIO PENDIENTE</v>
      </c>
      <c r="F1414" s="19"/>
      <c r="G1414" s="19" t="str">
        <f>IFERROR(__xludf.DUMMYFUNCTION("""COMPUTED_VALUE"""),"CV60")</f>
        <v>CV60</v>
      </c>
      <c r="H1414" s="19" t="str">
        <f>IFERROR(__xludf.DUMMYFUNCTION("""COMPUTED_VALUE"""),"")</f>
        <v/>
      </c>
      <c r="I1414" s="19" t="str">
        <f>IFERROR(__xludf.DUMMYFUNCTION("""COMPUTED_VALUE"""),"")</f>
        <v/>
      </c>
      <c r="J1414" s="20" t="str">
        <f>IFERROR(__xludf.DUMMYFUNCTION("""COMPUTED_VALUE"""),"")</f>
        <v/>
      </c>
      <c r="K1414" s="19" t="str">
        <f>IFERROR(__xludf.DUMMYFUNCTION("""COMPUTED_VALUE"""),"")</f>
        <v/>
      </c>
      <c r="L1414" s="20" t="str">
        <f>IFERROR(__xludf.DUMMYFUNCTION("""COMPUTED_VALUE"""),"")</f>
        <v/>
      </c>
      <c r="M1414" s="19" t="str">
        <f>IFERROR(__xludf.DUMMYFUNCTION("""COMPUTED_VALUE"""),"PP")</f>
        <v>PP</v>
      </c>
      <c r="N1414" s="19" t="str">
        <f>IFERROR(__xludf.DUMMYFUNCTION("""COMPUTED_VALUE"""),"PRIORIDAD 3 Q1 2024 MARZO")</f>
        <v>PRIORIDAD 3 Q1 2024 MARZO</v>
      </c>
    </row>
    <row r="1415" ht="15.75" customHeight="1">
      <c r="A1415" s="19" t="str">
        <f>IFERROR(__xludf.DUMMYFUNCTION("""COMPUTED_VALUE"""),"AB_10070")</f>
        <v>AB_10070</v>
      </c>
      <c r="B1415" s="19" t="str">
        <f>IFERROR(__xludf.DUMMYFUNCTION("""COMPUTED_VALUE"""),"AB_10070_A")</f>
        <v>AB_10070_A</v>
      </c>
      <c r="C1415" s="19" t="str">
        <f>IFERROR(__xludf.DUMMYFUNCTION("""COMPUTED_VALUE"""),"AN10070")</f>
        <v>AN10070</v>
      </c>
      <c r="D1415" s="19" t="str">
        <f>IFERROR(__xludf.DUMMYFUNCTION("""COMPUTED_VALUE"""),"Nova Ventura Ruta 1")</f>
        <v>Nova Ventura Ruta 1</v>
      </c>
      <c r="E1415" s="19" t="str">
        <f>IFERROR(__xludf.DUMMYFUNCTION("""COMPUTED_VALUE"""),"SITIO EN CONSTRUCCION")</f>
        <v>SITIO EN CONSTRUCCION</v>
      </c>
      <c r="F1415" s="19" t="str">
        <f>IFERROR(__xludf.DUMMYFUNCTION("""COMPUTED_VALUE"""),"VISITA")</f>
        <v>VISITA</v>
      </c>
      <c r="G1415" s="19" t="str">
        <f>IFERROR(__xludf.DUMMYFUNCTION("""COMPUTED_VALUE"""),"CV60")</f>
        <v>CV60</v>
      </c>
      <c r="H1415" s="19" t="str">
        <f>IFERROR(__xludf.DUMMYFUNCTION("""COMPUTED_VALUE"""),"DEPROMET")</f>
        <v>DEPROMET</v>
      </c>
      <c r="I1415" s="19" t="str">
        <f>IFERROR(__xludf.DUMMYFUNCTION("""COMPUTED_VALUE"""),"Terminada")</f>
        <v>Terminada</v>
      </c>
      <c r="J1415" s="20">
        <f>IFERROR(__xludf.DUMMYFUNCTION("""COMPUTED_VALUE"""),45001.0)</f>
        <v>45001</v>
      </c>
      <c r="K1415" s="19" t="str">
        <f>IFERROR(__xludf.DUMMYFUNCTION("""COMPUTED_VALUE"""),"Por pintar ")</f>
        <v>Por pintar </v>
      </c>
      <c r="L1415" s="20">
        <f>IFERROR(__xludf.DUMMYFUNCTION("""COMPUTED_VALUE"""),45051.0)</f>
        <v>45051</v>
      </c>
      <c r="M1415" s="19" t="str">
        <f>IFERROR(__xludf.DUMMYFUNCTION("""COMPUTED_VALUE"""),"PP")</f>
        <v>PP</v>
      </c>
      <c r="N1415" s="19" t="str">
        <f>IFERROR(__xludf.DUMMYFUNCTION("""COMPUTED_VALUE"""),"PRIORIDAD 1 Q3 2023 OCTUBRE")</f>
        <v>PRIORIDAD 1 Q3 2023 OCTUBRE</v>
      </c>
    </row>
    <row r="1416" ht="15.75" customHeight="1">
      <c r="A1416" s="19" t="str">
        <f>IFERROR(__xludf.DUMMYFUNCTION("""COMPUTED_VALUE"""),"AB_10071")</f>
        <v>AB_10071</v>
      </c>
      <c r="B1416" s="19" t="str">
        <f>IFERROR(__xludf.DUMMYFUNCTION("""COMPUTED_VALUE"""),"AB_10071_A")</f>
        <v>AB_10071_A</v>
      </c>
      <c r="C1416" s="19" t="str">
        <f>IFERROR(__xludf.DUMMYFUNCTION("""COMPUTED_VALUE"""),"AN10071")</f>
        <v>AN10071</v>
      </c>
      <c r="D1416" s="19" t="str">
        <f>IFERROR(__xludf.DUMMYFUNCTION("""COMPUTED_VALUE"""),"Ruta 1 Costa")</f>
        <v>Ruta 1 Costa</v>
      </c>
      <c r="E1416" s="19" t="str">
        <f>IFERROR(__xludf.DUMMYFUNCTION("""COMPUTED_VALUE"""),"SITIO EN CONSTRUCCION")</f>
        <v>SITIO EN CONSTRUCCION</v>
      </c>
      <c r="F1416" s="19" t="str">
        <f>IFERROR(__xludf.DUMMYFUNCTION("""COMPUTED_VALUE"""),"EXCAVACION")</f>
        <v>EXCAVACION</v>
      </c>
      <c r="G1416" s="19" t="str">
        <f>IFERROR(__xludf.DUMMYFUNCTION("""COMPUTED_VALUE"""),"CV60")</f>
        <v>CV60</v>
      </c>
      <c r="H1416" s="19" t="str">
        <f>IFERROR(__xludf.DUMMYFUNCTION("""COMPUTED_VALUE"""),"DEPROMET")</f>
        <v>DEPROMET</v>
      </c>
      <c r="I1416" s="19" t="str">
        <f>IFERROR(__xludf.DUMMYFUNCTION("""COMPUTED_VALUE"""),"Entregada")</f>
        <v>Entregada</v>
      </c>
      <c r="J1416" s="20">
        <f>IFERROR(__xludf.DUMMYFUNCTION("""COMPUTED_VALUE"""),44893.0)</f>
        <v>44893</v>
      </c>
      <c r="K1416" s="19" t="str">
        <f>IFERROR(__xludf.DUMMYFUNCTION("""COMPUTED_VALUE"""),"Entregada")</f>
        <v>Entregada</v>
      </c>
      <c r="L1416" s="20">
        <f>IFERROR(__xludf.DUMMYFUNCTION("""COMPUTED_VALUE"""),44911.0)</f>
        <v>44911</v>
      </c>
      <c r="M1416" s="19" t="str">
        <f>IFERROR(__xludf.DUMMYFUNCTION("""COMPUTED_VALUE"""),"PP")</f>
        <v>PP</v>
      </c>
      <c r="N1416" s="19" t="str">
        <f>IFERROR(__xludf.DUMMYFUNCTION("""COMPUTED_VALUE"""),"PRIORIDAD 1 Q3 2023 OCTUBRE")</f>
        <v>PRIORIDAD 1 Q3 2023 OCTUBRE</v>
      </c>
    </row>
    <row r="1417" ht="15.75" customHeight="1">
      <c r="A1417" s="19" t="str">
        <f>IFERROR(__xludf.DUMMYFUNCTION("""COMPUTED_VALUE"""),"AB_10072")</f>
        <v>AB_10072</v>
      </c>
      <c r="B1417" s="19" t="str">
        <f>IFERROR(__xludf.DUMMYFUNCTION("""COMPUTED_VALUE"""),"AB_10072_B")</f>
        <v>AB_10072_B</v>
      </c>
      <c r="C1417" s="19" t="str">
        <f>IFERROR(__xludf.DUMMYFUNCTION("""COMPUTED_VALUE"""),"AN10072")</f>
        <v>AN10072</v>
      </c>
      <c r="D1417" s="19" t="str">
        <f>IFERROR(__xludf.DUMMYFUNCTION("""COMPUTED_VALUE"""),"Caleta Hueso Ruta 1")</f>
        <v>Caleta Hueso Ruta 1</v>
      </c>
      <c r="E1417" s="19" t="str">
        <f>IFERROR(__xludf.DUMMYFUNCTION("""COMPUTED_VALUE"""),"SITIO EN CONSTRUCCION")</f>
        <v>SITIO EN CONSTRUCCION</v>
      </c>
      <c r="F1417" s="19" t="str">
        <f>IFERROR(__xludf.DUMMYFUNCTION("""COMPUTED_VALUE"""),"VISITA")</f>
        <v>VISITA</v>
      </c>
      <c r="G1417" s="19" t="str">
        <f>IFERROR(__xludf.DUMMYFUNCTION("""COMPUTED_VALUE"""),"CV48")</f>
        <v>CV48</v>
      </c>
      <c r="H1417" s="19" t="str">
        <f>IFERROR(__xludf.DUMMYFUNCTION("""COMPUTED_VALUE"""),"INCOSERV")</f>
        <v>INCOSERV</v>
      </c>
      <c r="I1417" s="19" t="str">
        <f>IFERROR(__xludf.DUMMYFUNCTION("""COMPUTED_VALUE"""),"Terminada")</f>
        <v>Terminada</v>
      </c>
      <c r="J1417" s="20">
        <f>IFERROR(__xludf.DUMMYFUNCTION("""COMPUTED_VALUE"""),45034.0)</f>
        <v>45034</v>
      </c>
      <c r="K1417" s="19" t="str">
        <f>IFERROR(__xludf.DUMMYFUNCTION("""COMPUTED_VALUE"""),"Por pintar ")</f>
        <v>Por pintar </v>
      </c>
      <c r="L1417" s="20">
        <f>IFERROR(__xludf.DUMMYFUNCTION("""COMPUTED_VALUE"""),45066.0)</f>
        <v>45066</v>
      </c>
      <c r="M1417" s="19" t="str">
        <f>IFERROR(__xludf.DUMMYFUNCTION("""COMPUTED_VALUE"""),"PP")</f>
        <v>PP</v>
      </c>
      <c r="N1417" s="19" t="str">
        <f>IFERROR(__xludf.DUMMYFUNCTION("""COMPUTED_VALUE"""),"PRIORIDAD 2 Q4 2023 DICIEMBRE")</f>
        <v>PRIORIDAD 2 Q4 2023 DICIEMBRE</v>
      </c>
    </row>
    <row r="1418" ht="15.75" customHeight="1">
      <c r="A1418" s="19" t="str">
        <f>IFERROR(__xludf.DUMMYFUNCTION("""COMPUTED_VALUE"""),"AB_10073")</f>
        <v>AB_10073</v>
      </c>
      <c r="B1418" s="19" t="str">
        <f>IFERROR(__xludf.DUMMYFUNCTION("""COMPUTED_VALUE"""),"AB_10073_B")</f>
        <v>AB_10073_B</v>
      </c>
      <c r="C1418" s="19" t="str">
        <f>IFERROR(__xludf.DUMMYFUNCTION("""COMPUTED_VALUE"""),"AN10073")</f>
        <v>AN10073</v>
      </c>
      <c r="D1418" s="19" t="str">
        <f>IFERROR(__xludf.DUMMYFUNCTION("""COMPUTED_VALUE"""),"Estacion Breas")</f>
        <v>Estacion Breas</v>
      </c>
      <c r="E1418" s="19" t="str">
        <f>IFERROR(__xludf.DUMMYFUNCTION("""COMPUTED_VALUE"""),"SITIO EN CONSTRUCCION")</f>
        <v>SITIO EN CONSTRUCCION</v>
      </c>
      <c r="F1418" s="19" t="str">
        <f>IFERROR(__xludf.DUMMYFUNCTION("""COMPUTED_VALUE"""),"VISITA")</f>
        <v>VISITA</v>
      </c>
      <c r="G1418" s="19" t="str">
        <f>IFERROR(__xludf.DUMMYFUNCTION("""COMPUTED_VALUE"""),"CV60")</f>
        <v>CV60</v>
      </c>
      <c r="H1418" s="19" t="str">
        <f>IFERROR(__xludf.DUMMYFUNCTION("""COMPUTED_VALUE"""),"DEPROMET")</f>
        <v>DEPROMET</v>
      </c>
      <c r="I1418" s="19" t="str">
        <f>IFERROR(__xludf.DUMMYFUNCTION("""COMPUTED_VALUE"""),"Terminada")</f>
        <v>Terminada</v>
      </c>
      <c r="J1418" s="20">
        <f>IFERROR(__xludf.DUMMYFUNCTION("""COMPUTED_VALUE"""),45001.0)</f>
        <v>45001</v>
      </c>
      <c r="K1418" s="19" t="str">
        <f>IFERROR(__xludf.DUMMYFUNCTION("""COMPUTED_VALUE"""),"Por pintar ")</f>
        <v>Por pintar </v>
      </c>
      <c r="L1418" s="20">
        <f>IFERROR(__xludf.DUMMYFUNCTION("""COMPUTED_VALUE"""),45051.0)</f>
        <v>45051</v>
      </c>
      <c r="M1418" s="19" t="str">
        <f>IFERROR(__xludf.DUMMYFUNCTION("""COMPUTED_VALUE"""),"PP")</f>
        <v>PP</v>
      </c>
      <c r="N1418" s="19" t="str">
        <f>IFERROR(__xludf.DUMMYFUNCTION("""COMPUTED_VALUE"""),"PRIORIDAD 2 Q4 2023 DICIEMBRE")</f>
        <v>PRIORIDAD 2 Q4 2023 DICIEMBRE</v>
      </c>
    </row>
    <row r="1419" ht="15.75" customHeight="1">
      <c r="A1419" s="19" t="str">
        <f>IFERROR(__xludf.DUMMYFUNCTION("""COMPUTED_VALUE"""),"AB_10096")</f>
        <v>AB_10096</v>
      </c>
      <c r="B1419" s="19" t="str">
        <f>IFERROR(__xludf.DUMMYFUNCTION("""COMPUTED_VALUE"""),"AB_10096_A")</f>
        <v>AB_10096_A</v>
      </c>
      <c r="C1419" s="19" t="str">
        <f>IFERROR(__xludf.DUMMYFUNCTION("""COMPUTED_VALUE"""),"AN10096")</f>
        <v>AN10096</v>
      </c>
      <c r="D1419" s="19" t="str">
        <f>IFERROR(__xludf.DUMMYFUNCTION("""COMPUTED_VALUE"""),"Interseccion Ruta 1")</f>
        <v>Interseccion Ruta 1</v>
      </c>
      <c r="E1419" s="19" t="str">
        <f>IFERROR(__xludf.DUMMYFUNCTION("""COMPUTED_VALUE"""),"SITIO RFC")</f>
        <v>SITIO RFC</v>
      </c>
      <c r="F1419" s="19" t="str">
        <f>IFERROR(__xludf.DUMMYFUNCTION("""COMPUTED_VALUE"""),"VISITA")</f>
        <v>VISITA</v>
      </c>
      <c r="G1419" s="19" t="str">
        <f>IFERROR(__xludf.DUMMYFUNCTION("""COMPUTED_VALUE"""),"CV48")</f>
        <v>CV48</v>
      </c>
      <c r="H1419" s="19" t="str">
        <f>IFERROR(__xludf.DUMMYFUNCTION("""COMPUTED_VALUE"""),"INCOSERV")</f>
        <v>INCOSERV</v>
      </c>
      <c r="I1419" s="19" t="str">
        <f>IFERROR(__xludf.DUMMYFUNCTION("""COMPUTED_VALUE"""),"Asignada")</f>
        <v>Asignada</v>
      </c>
      <c r="J1419" s="20">
        <f>IFERROR(__xludf.DUMMYFUNCTION("""COMPUTED_VALUE"""),45163.0)</f>
        <v>45163</v>
      </c>
      <c r="K1419" s="19" t="str">
        <f>IFERROR(__xludf.DUMMYFUNCTION("""COMPUTED_VALUE"""),"Asignada")</f>
        <v>Asignada</v>
      </c>
      <c r="L1419" s="20">
        <f>IFERROR(__xludf.DUMMYFUNCTION("""COMPUTED_VALUE"""),45191.0)</f>
        <v>45191</v>
      </c>
      <c r="M1419" s="19" t="str">
        <f>IFERROR(__xludf.DUMMYFUNCTION("""COMPUTED_VALUE"""),"PP")</f>
        <v>PP</v>
      </c>
      <c r="N1419" s="19" t="str">
        <f>IFERROR(__xludf.DUMMYFUNCTION("""COMPUTED_VALUE"""),"PRIORIDAD 2 Q4 2023 DICIEMBRE")</f>
        <v>PRIORIDAD 2 Q4 2023 DICIEMBRE</v>
      </c>
    </row>
    <row r="1420" ht="15.75" customHeight="1">
      <c r="A1420" s="19" t="str">
        <f>IFERROR(__xludf.DUMMYFUNCTION("""COMPUTED_VALUE"""),"AB_10101")</f>
        <v>AB_10101</v>
      </c>
      <c r="B1420" s="19" t="str">
        <f>IFERROR(__xludf.DUMMYFUNCTION("""COMPUTED_VALUE"""),"AB_10101_B")</f>
        <v>AB_10101_B</v>
      </c>
      <c r="C1420" s="19" t="str">
        <f>IFERROR(__xludf.DUMMYFUNCTION("""COMPUTED_VALUE"""),"AN10101")</f>
        <v>AN10101</v>
      </c>
      <c r="D1420" s="19" t="str">
        <f>IFERROR(__xludf.DUMMYFUNCTION("""COMPUTED_VALUE"""),"Cuesta Reserva Paposo")</f>
        <v>Cuesta Reserva Paposo</v>
      </c>
      <c r="E1420" s="19" t="str">
        <f>IFERROR(__xludf.DUMMYFUNCTION("""COMPUTED_VALUE"""),"SITIO PENDIENTE")</f>
        <v>SITIO PENDIENTE</v>
      </c>
      <c r="F1420" s="19"/>
      <c r="G1420" s="19" t="str">
        <f>IFERROR(__xludf.DUMMYFUNCTION("""COMPUTED_VALUE"""),"x")</f>
        <v>x</v>
      </c>
      <c r="H1420" s="19" t="str">
        <f>IFERROR(__xludf.DUMMYFUNCTION("""COMPUTED_VALUE"""),"x")</f>
        <v>x</v>
      </c>
      <c r="I1420" s="19" t="str">
        <f>IFERROR(__xludf.DUMMYFUNCTION("""COMPUTED_VALUE"""),"x")</f>
        <v>x</v>
      </c>
      <c r="J1420" s="20" t="str">
        <f>IFERROR(__xludf.DUMMYFUNCTION("""COMPUTED_VALUE"""),"x")</f>
        <v>x</v>
      </c>
      <c r="K1420" s="19" t="str">
        <f>IFERROR(__xludf.DUMMYFUNCTION("""COMPUTED_VALUE"""),"x")</f>
        <v>x</v>
      </c>
      <c r="L1420" s="20" t="str">
        <f>IFERROR(__xludf.DUMMYFUNCTION("""COMPUTED_VALUE"""),"x")</f>
        <v>x</v>
      </c>
      <c r="M1420" s="19" t="str">
        <f>IFERROR(__xludf.DUMMYFUNCTION("""COMPUTED_VALUE"""),"PP")</f>
        <v>PP</v>
      </c>
      <c r="N1420" s="19" t="str">
        <f>IFERROR(__xludf.DUMMYFUNCTION("""COMPUTED_VALUE"""),"PRIORIDAD 3 Q1 2024 MARZO")</f>
        <v>PRIORIDAD 3 Q1 2024 MARZO</v>
      </c>
    </row>
    <row r="1421" ht="15.75" customHeight="1">
      <c r="A1421" s="19" t="str">
        <f>IFERROR(__xludf.DUMMYFUNCTION("""COMPUTED_VALUE"""),"AB_10165")</f>
        <v>AB_10165</v>
      </c>
      <c r="B1421" s="19" t="str">
        <f>IFERROR(__xludf.DUMMYFUNCTION("""COMPUTED_VALUE"""),"AB_10165_B")</f>
        <v>AB_10165_B</v>
      </c>
      <c r="C1421" s="19" t="str">
        <f>IFERROR(__xludf.DUMMYFUNCTION("""COMPUTED_VALUE"""),"AN10165")</f>
        <v>AN10165</v>
      </c>
      <c r="D1421" s="19" t="str">
        <f>IFERROR(__xludf.DUMMYFUNCTION("""COMPUTED_VALUE"""),"Central Tamaya")</f>
        <v>Central Tamaya</v>
      </c>
      <c r="E1421" s="19" t="str">
        <f>IFERROR(__xludf.DUMMYFUNCTION("""COMPUTED_VALUE"""),"SITIO RFI")</f>
        <v>SITIO RFI</v>
      </c>
      <c r="F1421" s="20" t="str">
        <f>IFERROR(__xludf.DUMMYFUNCTION("""COMPUTED_VALUE"""),"RFI")</f>
        <v>RFI</v>
      </c>
      <c r="G1421" s="19" t="str">
        <f>IFERROR(__xludf.DUMMYFUNCTION("""COMPUTED_VALUE"""),"CV42")</f>
        <v>CV42</v>
      </c>
      <c r="H1421" s="19" t="str">
        <f>IFERROR(__xludf.DUMMYFUNCTION("""COMPUTED_VALUE"""),"DEPROMET")</f>
        <v>DEPROMET</v>
      </c>
      <c r="I1421" s="19" t="str">
        <f>IFERROR(__xludf.DUMMYFUNCTION("""COMPUTED_VALUE"""),"Entregada")</f>
        <v>Entregada</v>
      </c>
      <c r="J1421" s="20">
        <f>IFERROR(__xludf.DUMMYFUNCTION("""COMPUTED_VALUE"""),44764.0)</f>
        <v>44764</v>
      </c>
      <c r="K1421" s="19" t="str">
        <f>IFERROR(__xludf.DUMMYFUNCTION("""COMPUTED_VALUE"""),"Entregada")</f>
        <v>Entregada</v>
      </c>
      <c r="L1421" s="20">
        <f>IFERROR(__xludf.DUMMYFUNCTION("""COMPUTED_VALUE"""),44764.0)</f>
        <v>44764</v>
      </c>
      <c r="M1421" s="19" t="str">
        <f>IFERROR(__xludf.DUMMYFUNCTION("""COMPUTED_VALUE"""),"PCM")</f>
        <v>PCM</v>
      </c>
      <c r="N1421" s="19" t="str">
        <f>IFERROR(__xludf.DUMMYFUNCTION("""COMPUTED_VALUE"""),"PRIORIDAD 1 Q3 2023 OCTUBRE")</f>
        <v>PRIORIDAD 1 Q3 2023 OCTUBRE</v>
      </c>
    </row>
    <row r="1422" ht="15.75" customHeight="1">
      <c r="A1422" s="19" t="str">
        <f>IFERROR(__xludf.DUMMYFUNCTION("""COMPUTED_VALUE"""),"AB_10172")</f>
        <v>AB_10172</v>
      </c>
      <c r="B1422" s="19" t="str">
        <f>IFERROR(__xludf.DUMMYFUNCTION("""COMPUTED_VALUE"""),"AB_10172_A")</f>
        <v>AB_10172_A</v>
      </c>
      <c r="C1422" s="19" t="str">
        <f>IFERROR(__xludf.DUMMYFUNCTION("""COMPUTED_VALUE"""),"AN10172")</f>
        <v>AN10172</v>
      </c>
      <c r="D1422" s="19" t="str">
        <f>IFERROR(__xludf.DUMMYFUNCTION("""COMPUTED_VALUE"""),"Puerto Angamos Puerto")</f>
        <v>Puerto Angamos Puerto</v>
      </c>
      <c r="E1422" s="19" t="str">
        <f>IFERROR(__xludf.DUMMYFUNCTION("""COMPUTED_VALUE"""),"SITIO PENDIENTE")</f>
        <v>SITIO PENDIENTE</v>
      </c>
      <c r="F1422" s="19"/>
      <c r="G1422" s="19"/>
      <c r="H1422" s="19"/>
      <c r="I1422" s="19"/>
      <c r="J1422" s="20"/>
      <c r="K1422" s="19"/>
      <c r="L1422" s="20"/>
      <c r="M1422" s="19" t="str">
        <f>IFERROR(__xludf.DUMMYFUNCTION("""COMPUTED_VALUE"""),"PP")</f>
        <v>PP</v>
      </c>
      <c r="N1422" s="19" t="str">
        <f>IFERROR(__xludf.DUMMYFUNCTION("""COMPUTED_VALUE"""),"PRIORIDAD 2 Q4 2023 DICIEMBRE")</f>
        <v>PRIORIDAD 2 Q4 2023 DICIEMBRE</v>
      </c>
    </row>
    <row r="1423" ht="15.75" customHeight="1">
      <c r="A1423" s="19" t="str">
        <f>IFERROR(__xludf.DUMMYFUNCTION("""COMPUTED_VALUE"""),"AB_10185")</f>
        <v>AB_10185</v>
      </c>
      <c r="B1423" s="19" t="str">
        <f>IFERROR(__xludf.DUMMYFUNCTION("""COMPUTED_VALUE"""),"AB_10185_A")</f>
        <v>AB_10185_A</v>
      </c>
      <c r="C1423" s="19" t="str">
        <f>IFERROR(__xludf.DUMMYFUNCTION("""COMPUTED_VALUE"""),"AN10185")</f>
        <v>AN10185</v>
      </c>
      <c r="D1423" s="19" t="str">
        <f>IFERROR(__xludf.DUMMYFUNCTION("""COMPUTED_VALUE"""),"Puerto de Mejillones")</f>
        <v>Puerto de Mejillones</v>
      </c>
      <c r="E1423" s="19" t="str">
        <f>IFERROR(__xludf.DUMMYFUNCTION("""COMPUTED_VALUE"""),"SITIO PENDIENTE")</f>
        <v>SITIO PENDIENTE</v>
      </c>
      <c r="F1423" s="19"/>
      <c r="G1423" s="19" t="str">
        <f>IFERROR(__xludf.DUMMYFUNCTION("""COMPUTED_VALUE"""),"x")</f>
        <v>x</v>
      </c>
      <c r="H1423" s="19" t="str">
        <f>IFERROR(__xludf.DUMMYFUNCTION("""COMPUTED_VALUE"""),"x")</f>
        <v>x</v>
      </c>
      <c r="I1423" s="19" t="str">
        <f>IFERROR(__xludf.DUMMYFUNCTION("""COMPUTED_VALUE"""),"x")</f>
        <v>x</v>
      </c>
      <c r="J1423" s="20" t="str">
        <f>IFERROR(__xludf.DUMMYFUNCTION("""COMPUTED_VALUE"""),"x")</f>
        <v>x</v>
      </c>
      <c r="K1423" s="19" t="str">
        <f>IFERROR(__xludf.DUMMYFUNCTION("""COMPUTED_VALUE"""),"x")</f>
        <v>x</v>
      </c>
      <c r="L1423" s="20" t="str">
        <f>IFERROR(__xludf.DUMMYFUNCTION("""COMPUTED_VALUE"""),"x")</f>
        <v>x</v>
      </c>
      <c r="M1423" s="19" t="str">
        <f>IFERROR(__xludf.DUMMYFUNCTION("""COMPUTED_VALUE"""),"PP")</f>
        <v>PP</v>
      </c>
      <c r="N1423" s="19" t="str">
        <f>IFERROR(__xludf.DUMMYFUNCTION("""COMPUTED_VALUE"""),"PRIORIDAD 3 Q1 2024 MARZO")</f>
        <v>PRIORIDAD 3 Q1 2024 MARZO</v>
      </c>
    </row>
    <row r="1424" ht="15.75" customHeight="1">
      <c r="A1424" s="19" t="str">
        <f>IFERROR(__xludf.DUMMYFUNCTION("""COMPUTED_VALUE"""),"AB_10229")</f>
        <v>AB_10229</v>
      </c>
      <c r="B1424" s="19" t="str">
        <f>IFERROR(__xludf.DUMMYFUNCTION("""COMPUTED_VALUE"""),"AB_10229_A")</f>
        <v>AB_10229_A</v>
      </c>
      <c r="C1424" s="19" t="str">
        <f>IFERROR(__xludf.DUMMYFUNCTION("""COMPUTED_VALUE"""),"AN10229")</f>
        <v>AN10229</v>
      </c>
      <c r="D1424" s="19" t="str">
        <f>IFERROR(__xludf.DUMMYFUNCTION("""COMPUTED_VALUE"""),"Bajada Taltal")</f>
        <v>Bajada Taltal</v>
      </c>
      <c r="E1424" s="19" t="str">
        <f>IFERROR(__xludf.DUMMYFUNCTION("""COMPUTED_VALUE"""),"SITIO RFI")</f>
        <v>SITIO RFI</v>
      </c>
      <c r="F1424" s="19" t="str">
        <f>IFERROR(__xludf.DUMMYFUNCTION("""COMPUTED_VALUE"""),"RFI")</f>
        <v>RFI</v>
      </c>
      <c r="G1424" s="19" t="str">
        <f>IFERROR(__xludf.DUMMYFUNCTION("""COMPUTED_VALUE"""),"MP18")</f>
        <v>MP18</v>
      </c>
      <c r="H1424" s="19" t="str">
        <f>IFERROR(__xludf.DUMMYFUNCTION("""COMPUTED_VALUE"""),"MER")</f>
        <v>MER</v>
      </c>
      <c r="I1424" s="19" t="str">
        <f>IFERROR(__xludf.DUMMYFUNCTION("""COMPUTED_VALUE"""),"Entregada")</f>
        <v>Entregada</v>
      </c>
      <c r="J1424" s="20">
        <f>IFERROR(__xludf.DUMMYFUNCTION("""COMPUTED_VALUE"""),44697.0)</f>
        <v>44697</v>
      </c>
      <c r="K1424" s="19" t="str">
        <f>IFERROR(__xludf.DUMMYFUNCTION("""COMPUTED_VALUE"""),"Entregada")</f>
        <v>Entregada</v>
      </c>
      <c r="L1424" s="20">
        <f>IFERROR(__xludf.DUMMYFUNCTION("""COMPUTED_VALUE"""),44743.0)</f>
        <v>44743</v>
      </c>
      <c r="M1424" s="19" t="str">
        <f>IFERROR(__xludf.DUMMYFUNCTION("""COMPUTED_VALUE"""),"PCM")</f>
        <v>PCM</v>
      </c>
      <c r="N1424" s="19" t="str">
        <f>IFERROR(__xludf.DUMMYFUNCTION("""COMPUTED_VALUE"""),"PRIORIDAD 1 Q3 2023 OCTUBRE")</f>
        <v>PRIORIDAD 1 Q3 2023 OCTUBRE</v>
      </c>
    </row>
    <row r="1425" ht="15.75" customHeight="1">
      <c r="A1425" s="19" t="str">
        <f>IFERROR(__xludf.DUMMYFUNCTION("""COMPUTED_VALUE"""),"AB_10594")</f>
        <v>AB_10594</v>
      </c>
      <c r="B1425" s="19" t="str">
        <f>IFERROR(__xludf.DUMMYFUNCTION("""COMPUTED_VALUE"""),"AB_10594_A")</f>
        <v>AB_10594_A</v>
      </c>
      <c r="C1425" s="19" t="str">
        <f>IFERROR(__xludf.DUMMYFUNCTION("""COMPUTED_VALUE"""),"AN10594")</f>
        <v>AN10594</v>
      </c>
      <c r="D1425" s="19" t="str">
        <f>IFERROR(__xludf.DUMMYFUNCTION("""COMPUTED_VALUE"""),"RPT Camino del Yeso")</f>
        <v>RPT Camino del Yeso</v>
      </c>
      <c r="E1425" s="19" t="str">
        <f>IFERROR(__xludf.DUMMYFUNCTION("""COMPUTED_VALUE"""),"SITIO EN CONSTRUCCION")</f>
        <v>SITIO EN CONSTRUCCION</v>
      </c>
      <c r="F1425" s="19" t="str">
        <f>IFERROR(__xludf.DUMMYFUNCTION("""COMPUTED_VALUE"""),"HORMIGONADO")</f>
        <v>HORMIGONADO</v>
      </c>
      <c r="G1425" s="19" t="str">
        <f>IFERROR(__xludf.DUMMYFUNCTION("""COMPUTED_VALUE"""),"AS42")</f>
        <v>AS42</v>
      </c>
      <c r="H1425" s="19" t="str">
        <f>IFERROR(__xludf.DUMMYFUNCTION("""COMPUTED_VALUE"""),"MER")</f>
        <v>MER</v>
      </c>
      <c r="I1425" s="19" t="str">
        <f>IFERROR(__xludf.DUMMYFUNCTION("""COMPUTED_VALUE"""),"Terminada")</f>
        <v>Terminada</v>
      </c>
      <c r="J1425" s="20">
        <f>IFERROR(__xludf.DUMMYFUNCTION("""COMPUTED_VALUE"""),44803.0)</f>
        <v>44803</v>
      </c>
      <c r="K1425" s="19" t="str">
        <f>IFERROR(__xludf.DUMMYFUNCTION("""COMPUTED_VALUE"""),"Por pintar ")</f>
        <v>Por pintar </v>
      </c>
      <c r="L1425" s="20">
        <f>IFERROR(__xludf.DUMMYFUNCTION("""COMPUTED_VALUE"""),44797.0)</f>
        <v>44797</v>
      </c>
      <c r="M1425" s="19" t="str">
        <f>IFERROR(__xludf.DUMMYFUNCTION("""COMPUTED_VALUE"""),"LLOO")</f>
        <v>LLOO</v>
      </c>
      <c r="N1425" s="19" t="str">
        <f>IFERROR(__xludf.DUMMYFUNCTION("""COMPUTED_VALUE"""),"PRIORIDAD 2 Q4 2023 DICIEMBRE")</f>
        <v>PRIORIDAD 2 Q4 2023 DICIEMBRE</v>
      </c>
    </row>
    <row r="1426" ht="15.75" customHeight="1">
      <c r="A1426" s="19" t="str">
        <f>IFERROR(__xludf.DUMMYFUNCTION("""COMPUTED_VALUE"""),"AB_10596")</f>
        <v>AB_10596</v>
      </c>
      <c r="B1426" s="19" t="str">
        <f>IFERROR(__xludf.DUMMYFUNCTION("""COMPUTED_VALUE"""),"AB_10596_A")</f>
        <v>AB_10596_A</v>
      </c>
      <c r="C1426" s="19" t="str">
        <f>IFERROR(__xludf.DUMMYFUNCTION("""COMPUTED_VALUE"""),"AN10596")</f>
        <v>AN10596</v>
      </c>
      <c r="D1426" s="19" t="str">
        <f>IFERROR(__xludf.DUMMYFUNCTION("""COMPUTED_VALUE"""),"RPT Cerro El Viento")</f>
        <v>RPT Cerro El Viento</v>
      </c>
      <c r="E1426" s="19" t="str">
        <f>IFERROR(__xludf.DUMMYFUNCTION("""COMPUTED_VALUE"""),"SITIO ASIGNADO")</f>
        <v>SITIO ASIGNADO</v>
      </c>
      <c r="F1426" s="19"/>
      <c r="G1426" s="19" t="str">
        <f>IFERROR(__xludf.DUMMYFUNCTION("""COMPUTED_VALUE"""),"CV48")</f>
        <v>CV48</v>
      </c>
      <c r="H1426" s="19" t="str">
        <f>IFERROR(__xludf.DUMMYFUNCTION("""COMPUTED_VALUE"""),"INCOSERV")</f>
        <v>INCOSERV</v>
      </c>
      <c r="I1426" s="19" t="str">
        <f>IFERROR(__xludf.DUMMYFUNCTION("""COMPUTED_VALUE"""),"Terminada")</f>
        <v>Terminada</v>
      </c>
      <c r="J1426" s="20">
        <f>IFERROR(__xludf.DUMMYFUNCTION("""COMPUTED_VALUE"""),45034.0)</f>
        <v>45034</v>
      </c>
      <c r="K1426" s="19" t="str">
        <f>IFERROR(__xludf.DUMMYFUNCTION("""COMPUTED_VALUE"""),"Por pintar ")</f>
        <v>Por pintar </v>
      </c>
      <c r="L1426" s="20">
        <f>IFERROR(__xludf.DUMMYFUNCTION("""COMPUTED_VALUE"""),45107.0)</f>
        <v>45107</v>
      </c>
      <c r="M1426" s="19" t="str">
        <f>IFERROR(__xludf.DUMMYFUNCTION("""COMPUTED_VALUE"""),"PP_3")</f>
        <v>PP_3</v>
      </c>
      <c r="N1426" s="19" t="str">
        <f>IFERROR(__xludf.DUMMYFUNCTION("""COMPUTED_VALUE"""),"PRIORIDAD 3 Q1 2024 MARZO")</f>
        <v>PRIORIDAD 3 Q1 2024 MARZO</v>
      </c>
    </row>
    <row r="1427" ht="15.75" customHeight="1">
      <c r="A1427" s="19" t="str">
        <f>IFERROR(__xludf.DUMMYFUNCTION("""COMPUTED_VALUE"""),"AB_10598")</f>
        <v>AB_10598</v>
      </c>
      <c r="B1427" s="19" t="str">
        <f>IFERROR(__xludf.DUMMYFUNCTION("""COMPUTED_VALUE"""),"AB_10598_A")</f>
        <v>AB_10598_A</v>
      </c>
      <c r="C1427" s="19" t="str">
        <f>IFERROR(__xludf.DUMMYFUNCTION("""COMPUTED_VALUE"""),"AN10598")</f>
        <v>AN10598</v>
      </c>
      <c r="D1427" s="19" t="str">
        <f>IFERROR(__xludf.DUMMYFUNCTION("""COMPUTED_VALUE"""),"RPT Sierra Esmeralda")</f>
        <v>RPT Sierra Esmeralda</v>
      </c>
      <c r="E1427" s="19" t="str">
        <f>IFERROR(__xludf.DUMMYFUNCTION("""COMPUTED_VALUE"""),"DETENIDO COMPRA ESTRUCTURA")</f>
        <v>DETENIDO COMPRA ESTRUCTURA</v>
      </c>
      <c r="F1427" s="19"/>
      <c r="G1427" s="19" t="str">
        <f>IFERROR(__xludf.DUMMYFUNCTION("""COMPUTED_VALUE"""),"AS60")</f>
        <v>AS60</v>
      </c>
      <c r="H1427" s="19" t="str">
        <f>IFERROR(__xludf.DUMMYFUNCTION("""COMPUTED_VALUE"""),"COMPRAS")</f>
        <v>COMPRAS</v>
      </c>
      <c r="I1427" s="19"/>
      <c r="J1427" s="19"/>
      <c r="K1427" s="19"/>
      <c r="L1427" s="19"/>
      <c r="M1427" s="19" t="str">
        <f>IFERROR(__xludf.DUMMYFUNCTION("""COMPUTED_VALUE"""),"LLOO_3")</f>
        <v>LLOO_3</v>
      </c>
      <c r="N1427" s="19" t="str">
        <f>IFERROR(__xludf.DUMMYFUNCTION("""COMPUTED_VALUE"""),"PRIORIDAD 3 Q1 2024 MARZO")</f>
        <v>PRIORIDAD 3 Q1 2024 MARZO</v>
      </c>
    </row>
    <row r="1428" ht="15.75" customHeight="1">
      <c r="A1428" s="19" t="str">
        <f>IFERROR(__xludf.DUMMYFUNCTION("""COMPUTED_VALUE"""),"AB_10603")</f>
        <v>AB_10603</v>
      </c>
      <c r="B1428" s="19" t="str">
        <f>IFERROR(__xludf.DUMMYFUNCTION("""COMPUTED_VALUE"""),"AB_10603_A")</f>
        <v>AB_10603_A</v>
      </c>
      <c r="C1428" s="19" t="str">
        <f>IFERROR(__xludf.DUMMYFUNCTION("""COMPUTED_VALUE"""),"AN10603")</f>
        <v>AN10603</v>
      </c>
      <c r="D1428" s="19" t="str">
        <f>IFERROR(__xludf.DUMMYFUNCTION("""COMPUTED_VALUE"""),"RPT_El Cobre")</f>
        <v>RPT_El Cobre</v>
      </c>
      <c r="E1428" s="19" t="str">
        <f>IFERROR(__xludf.DUMMYFUNCTION("""COMPUTED_VALUE"""),"DETENIDO COMPRA ESTRUCTURA")</f>
        <v>DETENIDO COMPRA ESTRUCTURA</v>
      </c>
      <c r="F1428" s="19"/>
      <c r="G1428" s="19" t="str">
        <f>IFERROR(__xludf.DUMMYFUNCTION("""COMPUTED_VALUE"""),"AS48")</f>
        <v>AS48</v>
      </c>
      <c r="H1428" s="19" t="str">
        <f>IFERROR(__xludf.DUMMYFUNCTION("""COMPUTED_VALUE"""),"COMPRAS")</f>
        <v>COMPRAS</v>
      </c>
      <c r="I1428" s="19"/>
      <c r="J1428" s="19"/>
      <c r="K1428" s="19"/>
      <c r="L1428" s="19"/>
      <c r="M1428" s="19" t="str">
        <f>IFERROR(__xludf.DUMMYFUNCTION("""COMPUTED_VALUE"""),"PP_3")</f>
        <v>PP_3</v>
      </c>
      <c r="N1428" s="19" t="str">
        <f>IFERROR(__xludf.DUMMYFUNCTION("""COMPUTED_VALUE"""),"PRIORIDAD 3 Q1 2024 MARZO")</f>
        <v>PRIORIDAD 3 Q1 2024 MARZO</v>
      </c>
    </row>
    <row r="1429" ht="15.75" customHeight="1">
      <c r="A1429" s="19" t="str">
        <f>IFERROR(__xludf.DUMMYFUNCTION("""COMPUTED_VALUE"""),"AB_9089")</f>
        <v>AB_9089</v>
      </c>
      <c r="B1429" s="19" t="str">
        <f>IFERROR(__xludf.DUMMYFUNCTION("""COMPUTED_VALUE"""),"AB_9089_A")</f>
        <v>AB_9089_A</v>
      </c>
      <c r="C1429" s="19" t="str">
        <f>IFERROR(__xludf.DUMMYFUNCTION("""COMPUTED_VALUE"""),"TA9089")</f>
        <v>TA9089</v>
      </c>
      <c r="D1429" s="19" t="str">
        <f>IFERROR(__xludf.DUMMYFUNCTION("""COMPUTED_VALUE"""),"Mina Santa Rosa")</f>
        <v>Mina Santa Rosa</v>
      </c>
      <c r="E1429" s="19" t="str">
        <f>IFERROR(__xludf.DUMMYFUNCTION("""COMPUTED_VALUE"""),"SITIO PENDIENTE")</f>
        <v>SITIO PENDIENTE</v>
      </c>
      <c r="F1429" s="19"/>
      <c r="G1429" s="19" t="str">
        <f>IFERROR(__xludf.DUMMYFUNCTION("""COMPUTED_VALUE"""),"AS60")</f>
        <v>AS60</v>
      </c>
      <c r="H1429" s="19" t="str">
        <f>IFERROR(__xludf.DUMMYFUNCTION("""COMPUTED_VALUE"""),"COMPRAS")</f>
        <v>COMPRAS</v>
      </c>
      <c r="I1429" s="19"/>
      <c r="J1429" s="19"/>
      <c r="K1429" s="19"/>
      <c r="L1429" s="19"/>
      <c r="M1429" s="19" t="str">
        <f>IFERROR(__xludf.DUMMYFUNCTION("""COMPUTED_VALUE"""),"PCM")</f>
        <v>PCM</v>
      </c>
      <c r="N1429" s="19" t="str">
        <f>IFERROR(__xludf.DUMMYFUNCTION("""COMPUTED_VALUE"""),"PRIORIDAD 2 Q4 2023 DICIEMBRE")</f>
        <v>PRIORIDAD 2 Q4 2023 DICIEMBRE</v>
      </c>
    </row>
    <row r="1430" ht="15.75" customHeight="1">
      <c r="A1430" s="19" t="str">
        <f>IFERROR(__xludf.DUMMYFUNCTION("""COMPUTED_VALUE"""),"AB_1133")</f>
        <v>AB_1133</v>
      </c>
      <c r="B1430" s="19" t="str">
        <f>IFERROR(__xludf.DUMMYFUNCTION("""COMPUTED_VALUE"""),"AB_1133_D")</f>
        <v>AB_1133_D</v>
      </c>
      <c r="C1430" s="19" t="str">
        <f>IFERROR(__xludf.DUMMYFUNCTION("""COMPUTED_VALUE"""),"AN1133")</f>
        <v>AN1133</v>
      </c>
      <c r="D1430" s="19" t="str">
        <f>IFERROR(__xludf.DUMMYFUNCTION("""COMPUTED_VALUE"""),"Chiu Chiu")</f>
        <v>Chiu Chiu</v>
      </c>
      <c r="E1430" s="19" t="str">
        <f>IFERROR(__xludf.DUMMYFUNCTION("""COMPUTED_VALUE"""),"SITIO EN CONSTRUCCION")</f>
        <v>SITIO EN CONSTRUCCION</v>
      </c>
      <c r="F1430" s="19" t="str">
        <f>IFERROR(__xludf.DUMMYFUNCTION("""COMPUTED_VALUE"""),"VISITA")</f>
        <v>VISITA</v>
      </c>
      <c r="G1430" s="19" t="str">
        <f>IFERROR(__xludf.DUMMYFUNCTION("""COMPUTED_VALUE"""),"AS60")</f>
        <v>AS60</v>
      </c>
      <c r="H1430" s="19" t="str">
        <f>IFERROR(__xludf.DUMMYFUNCTION("""COMPUTED_VALUE"""),"MER")</f>
        <v>MER</v>
      </c>
      <c r="I1430" s="19" t="str">
        <f>IFERROR(__xludf.DUMMYFUNCTION("""COMPUTED_VALUE"""),"Terminada")</f>
        <v>Terminada</v>
      </c>
      <c r="J1430" s="20">
        <f>IFERROR(__xludf.DUMMYFUNCTION("""COMPUTED_VALUE"""),44876.0)</f>
        <v>44876</v>
      </c>
      <c r="K1430" s="19" t="str">
        <f>IFERROR(__xludf.DUMMYFUNCTION("""COMPUTED_VALUE"""),"Por pintar ")</f>
        <v>Por pintar </v>
      </c>
      <c r="L1430" s="20">
        <f>IFERROR(__xludf.DUMMYFUNCTION("""COMPUTED_VALUE"""),44904.0)</f>
        <v>44904</v>
      </c>
      <c r="M1430" s="19" t="str">
        <f>IFERROR(__xludf.DUMMYFUNCTION("""COMPUTED_VALUE"""),"PP")</f>
        <v>PP</v>
      </c>
      <c r="N1430" s="19" t="str">
        <f>IFERROR(__xludf.DUMMYFUNCTION("""COMPUTED_VALUE"""),"PRIORIDAD 2 Q4 2023 DICIEMBRE")</f>
        <v>PRIORIDAD 2 Q4 2023 DICIEMBRE</v>
      </c>
    </row>
    <row r="1431" ht="15.75" customHeight="1">
      <c r="A1431" s="19" t="str">
        <f>IFERROR(__xludf.DUMMYFUNCTION("""COMPUTED_VALUE"""),"AB_11689")</f>
        <v>AB_11689</v>
      </c>
      <c r="B1431" s="19" t="str">
        <f>IFERROR(__xludf.DUMMYFUNCTION("""COMPUTED_VALUE"""),"AB_11689_B")</f>
        <v>AB_11689_B</v>
      </c>
      <c r="C1431" s="19" t="str">
        <f>IFERROR(__xludf.DUMMYFUNCTION("""COMPUTED_VALUE"""),"AN11689")</f>
        <v>AN11689</v>
      </c>
      <c r="D1431" s="19" t="str">
        <f>IFERROR(__xludf.DUMMYFUNCTION("""COMPUTED_VALUE"""),"RPT Llullaillaco")</f>
        <v>RPT Llullaillaco</v>
      </c>
      <c r="E1431" s="19" t="str">
        <f>IFERROR(__xludf.DUMMYFUNCTION("""COMPUTED_VALUE"""),"DETENIDO COMPRA ESTRUCTURA")</f>
        <v>DETENIDO COMPRA ESTRUCTURA</v>
      </c>
      <c r="F1431" s="19"/>
      <c r="G1431" s="19" t="str">
        <f>IFERROR(__xludf.DUMMYFUNCTION("""COMPUTED_VALUE"""),"AS48")</f>
        <v>AS48</v>
      </c>
      <c r="H1431" s="19" t="str">
        <f>IFERROR(__xludf.DUMMYFUNCTION("""COMPUTED_VALUE"""),"COMPRAS")</f>
        <v>COMPRAS</v>
      </c>
      <c r="I1431" s="19"/>
      <c r="J1431" s="19"/>
      <c r="K1431" s="19"/>
      <c r="L1431" s="19"/>
      <c r="M1431" s="19" t="str">
        <f>IFERROR(__xludf.DUMMYFUNCTION("""COMPUTED_VALUE"""),"PP_3")</f>
        <v>PP_3</v>
      </c>
      <c r="N1431" s="19" t="str">
        <f>IFERROR(__xludf.DUMMYFUNCTION("""COMPUTED_VALUE"""),"PRIORIDAD 3 Q1 2024 MARZO")</f>
        <v>PRIORIDAD 3 Q1 2024 MARZO</v>
      </c>
    </row>
    <row r="1432" ht="15.75" customHeight="1">
      <c r="A1432" s="19" t="str">
        <f>IFERROR(__xludf.DUMMYFUNCTION("""COMPUTED_VALUE"""),"AB_11690")</f>
        <v>AB_11690</v>
      </c>
      <c r="B1432" s="19" t="str">
        <f>IFERROR(__xludf.DUMMYFUNCTION("""COMPUTED_VALUE"""),"AB_11690_A")</f>
        <v>AB_11690_A</v>
      </c>
      <c r="C1432" s="19" t="str">
        <f>IFERROR(__xludf.DUMMYFUNCTION("""COMPUTED_VALUE"""),"AN11690")</f>
        <v>AN11690</v>
      </c>
      <c r="D1432" s="19" t="str">
        <f>IFERROR(__xludf.DUMMYFUNCTION("""COMPUTED_VALUE"""),"RPT Oficina Cota")</f>
        <v>RPT Oficina Cota</v>
      </c>
      <c r="E1432" s="19" t="str">
        <f>IFERROR(__xludf.DUMMYFUNCTION("""COMPUTED_VALUE"""),"SITIO RFC")</f>
        <v>SITIO RFC</v>
      </c>
      <c r="F1432" s="19" t="str">
        <f>IFERROR(__xludf.DUMMYFUNCTION("""COMPUTED_VALUE"""),"VISITA")</f>
        <v>VISITA</v>
      </c>
      <c r="G1432" s="19" t="str">
        <f>IFERROR(__xludf.DUMMYFUNCTION("""COMPUTED_VALUE"""),"AS36")</f>
        <v>AS36</v>
      </c>
      <c r="H1432" s="19" t="str">
        <f>IFERROR(__xludf.DUMMYFUNCTION("""COMPUTED_VALUE"""),"JTI")</f>
        <v>JTI</v>
      </c>
      <c r="I1432" s="19" t="str">
        <f>IFERROR(__xludf.DUMMYFUNCTION("""COMPUTED_VALUE"""),"Terminada")</f>
        <v>Terminada</v>
      </c>
      <c r="J1432" s="20">
        <f>IFERROR(__xludf.DUMMYFUNCTION("""COMPUTED_VALUE"""),45034.0)</f>
        <v>45034</v>
      </c>
      <c r="K1432" s="19" t="str">
        <f>IFERROR(__xludf.DUMMYFUNCTION("""COMPUTED_VALUE"""),"Por pintar ")</f>
        <v>Por pintar </v>
      </c>
      <c r="L1432" s="20">
        <f>IFERROR(__xludf.DUMMYFUNCTION("""COMPUTED_VALUE"""),45044.0)</f>
        <v>45044</v>
      </c>
      <c r="M1432" s="19" t="str">
        <f>IFERROR(__xludf.DUMMYFUNCTION("""COMPUTED_VALUE"""),"PP_3")</f>
        <v>PP_3</v>
      </c>
      <c r="N1432" s="19" t="str">
        <f>IFERROR(__xludf.DUMMYFUNCTION("""COMPUTED_VALUE"""),"PRIORIDAD 3 Q1 2024 MARZO")</f>
        <v>PRIORIDAD 3 Q1 2024 MARZO</v>
      </c>
    </row>
    <row r="1433" ht="15.75" customHeight="1">
      <c r="A1433" s="19" t="str">
        <f>IFERROR(__xludf.DUMMYFUNCTION("""COMPUTED_VALUE"""),"AB_11691")</f>
        <v>AB_11691</v>
      </c>
      <c r="B1433" s="19" t="str">
        <f>IFERROR(__xludf.DUMMYFUNCTION("""COMPUTED_VALUE"""),"AB_11691_A")</f>
        <v>AB_11691_A</v>
      </c>
      <c r="C1433" s="19" t="str">
        <f>IFERROR(__xludf.DUMMYFUNCTION("""COMPUTED_VALUE"""),"AN11691")</f>
        <v>AN11691</v>
      </c>
      <c r="D1433" s="19" t="str">
        <f>IFERROR(__xludf.DUMMYFUNCTION("""COMPUTED_VALUE"""),"RPT La Taira")</f>
        <v>RPT La Taira</v>
      </c>
      <c r="E1433" s="19" t="str">
        <f>IFERROR(__xludf.DUMMYFUNCTION("""COMPUTED_VALUE"""),"DETENIDO SAC")</f>
        <v>DETENIDO SAC</v>
      </c>
      <c r="F1433" s="19" t="str">
        <f>IFERROR(__xludf.DUMMYFUNCTION("""COMPUTED_VALUE"""),"EXCAVACION")</f>
        <v>EXCAVACION</v>
      </c>
      <c r="G1433" s="19" t="str">
        <f>IFERROR(__xludf.DUMMYFUNCTION("""COMPUTED_VALUE"""),"CV30")</f>
        <v>CV30</v>
      </c>
      <c r="H1433" s="19" t="str">
        <f>IFERROR(__xludf.DUMMYFUNCTION("""COMPUTED_VALUE"""),"INCOSERV")</f>
        <v>INCOSERV</v>
      </c>
      <c r="I1433" s="19" t="str">
        <f>IFERROR(__xludf.DUMMYFUNCTION("""COMPUTED_VALUE"""),"Terminada")</f>
        <v>Terminada</v>
      </c>
      <c r="J1433" s="20">
        <f>IFERROR(__xludf.DUMMYFUNCTION("""COMPUTED_VALUE"""),45034.0)</f>
        <v>45034</v>
      </c>
      <c r="K1433" s="19" t="str">
        <f>IFERROR(__xludf.DUMMYFUNCTION("""COMPUTED_VALUE"""),"Por pintar ")</f>
        <v>Por pintar </v>
      </c>
      <c r="L1433" s="20">
        <f>IFERROR(__xludf.DUMMYFUNCTION("""COMPUTED_VALUE"""),45058.0)</f>
        <v>45058</v>
      </c>
      <c r="M1433" s="19" t="str">
        <f>IFERROR(__xludf.DUMMYFUNCTION("""COMPUTED_VALUE"""),"PP_3")</f>
        <v>PP_3</v>
      </c>
      <c r="N1433" s="19" t="str">
        <f>IFERROR(__xludf.DUMMYFUNCTION("""COMPUTED_VALUE"""),"PRIORIDAD 3 Q1 2024 MARZO")</f>
        <v>PRIORIDAD 3 Q1 2024 MARZO</v>
      </c>
    </row>
    <row r="1434" ht="15.75" customHeight="1">
      <c r="A1434" s="19" t="str">
        <f>IFERROR(__xludf.DUMMYFUNCTION("""COMPUTED_VALUE"""),"AB_1747")</f>
        <v>AB_1747</v>
      </c>
      <c r="B1434" s="19" t="str">
        <f>IFERROR(__xludf.DUMMYFUNCTION("""COMPUTED_VALUE"""),"AB_1747_A")</f>
        <v>AB_1747_A</v>
      </c>
      <c r="C1434" s="19" t="str">
        <f>IFERROR(__xludf.DUMMYFUNCTION("""COMPUTED_VALUE"""),"AN1747")</f>
        <v>AN1747</v>
      </c>
      <c r="D1434" s="19" t="str">
        <f>IFERROR(__xludf.DUMMYFUNCTION("""COMPUTED_VALUE"""),"Ruta Antofagasta - Taltal 3")</f>
        <v>Ruta Antofagasta - Taltal 3</v>
      </c>
      <c r="E1434" s="19" t="str">
        <f>IFERROR(__xludf.DUMMYFUNCTION("""COMPUTED_VALUE"""),"SITIO ASIGNADO")</f>
        <v>SITIO ASIGNADO</v>
      </c>
      <c r="F1434" s="19" t="str">
        <f>IFERROR(__xludf.DUMMYFUNCTION("""COMPUTED_VALUE"""),"HORMIGONADO")</f>
        <v>HORMIGONADO</v>
      </c>
      <c r="G1434" s="19" t="str">
        <f>IFERROR(__xludf.DUMMYFUNCTION("""COMPUTED_VALUE"""),"CV60")</f>
        <v>CV60</v>
      </c>
      <c r="H1434" s="19" t="str">
        <f>IFERROR(__xludf.DUMMYFUNCTION("""COMPUTED_VALUE"""),"DEPROMET")</f>
        <v>DEPROMET</v>
      </c>
      <c r="I1434" s="19" t="str">
        <f>IFERROR(__xludf.DUMMYFUNCTION("""COMPUTED_VALUE"""),"Entregada")</f>
        <v>Entregada</v>
      </c>
      <c r="J1434" s="20">
        <f>IFERROR(__xludf.DUMMYFUNCTION("""COMPUTED_VALUE"""),44708.0)</f>
        <v>44708</v>
      </c>
      <c r="K1434" s="19" t="str">
        <f>IFERROR(__xludf.DUMMYFUNCTION("""COMPUTED_VALUE"""),"Terminada")</f>
        <v>Terminada</v>
      </c>
      <c r="L1434" s="20">
        <f>IFERROR(__xludf.DUMMYFUNCTION("""COMPUTED_VALUE"""),44811.0)</f>
        <v>44811</v>
      </c>
      <c r="M1434" s="19" t="str">
        <f>IFERROR(__xludf.DUMMYFUNCTION("""COMPUTED_VALUE"""),"PCM")</f>
        <v>PCM</v>
      </c>
      <c r="N1434" s="19" t="str">
        <f>IFERROR(__xludf.DUMMYFUNCTION("""COMPUTED_VALUE"""),"PRIORIDAD 2 Q4 2023 DICIEMBRE")</f>
        <v>PRIORIDAD 2 Q4 2023 DICIEMBRE</v>
      </c>
    </row>
    <row r="1435" ht="15.75" customHeight="1">
      <c r="A1435" s="19" t="str">
        <f>IFERROR(__xludf.DUMMYFUNCTION("""COMPUTED_VALUE"""),"AB_1759")</f>
        <v>AB_1759</v>
      </c>
      <c r="B1435" s="19" t="str">
        <f>IFERROR(__xludf.DUMMYFUNCTION("""COMPUTED_VALUE"""),"AB_1759_E")</f>
        <v>AB_1759_E</v>
      </c>
      <c r="C1435" s="19" t="str">
        <f>IFERROR(__xludf.DUMMYFUNCTION("""COMPUTED_VALUE"""),"AN1759")</f>
        <v>AN1759</v>
      </c>
      <c r="D1435" s="19" t="str">
        <f>IFERROR(__xludf.DUMMYFUNCTION("""COMPUTED_VALUE"""),"Toconao")</f>
        <v>Toconao</v>
      </c>
      <c r="E1435" s="19" t="str">
        <f>IFERROR(__xludf.DUMMYFUNCTION("""COMPUTED_VALUE"""),"SITIO EN CONSTRUCCION")</f>
        <v>SITIO EN CONSTRUCCION</v>
      </c>
      <c r="F1435" s="19" t="str">
        <f>IFERROR(__xludf.DUMMYFUNCTION("""COMPUTED_VALUE"""),"EXCAVACION")</f>
        <v>EXCAVACION</v>
      </c>
      <c r="G1435" s="19" t="str">
        <f>IFERROR(__xludf.DUMMYFUNCTION("""COMPUTED_VALUE"""),"AS60")</f>
        <v>AS60</v>
      </c>
      <c r="H1435" s="19" t="str">
        <f>IFERROR(__xludf.DUMMYFUNCTION("""COMPUTED_VALUE"""),"MER")</f>
        <v>MER</v>
      </c>
      <c r="I1435" s="19" t="str">
        <f>IFERROR(__xludf.DUMMYFUNCTION("""COMPUTED_VALUE"""),"Entregada")</f>
        <v>Entregada</v>
      </c>
      <c r="J1435" s="20">
        <f>IFERROR(__xludf.DUMMYFUNCTION("""COMPUTED_VALUE"""),44708.0)</f>
        <v>44708</v>
      </c>
      <c r="K1435" s="19" t="str">
        <f>IFERROR(__xludf.DUMMYFUNCTION("""COMPUTED_VALUE"""),"Terminada")</f>
        <v>Terminada</v>
      </c>
      <c r="L1435" s="20">
        <f>IFERROR(__xludf.DUMMYFUNCTION("""COMPUTED_VALUE"""),44729.0)</f>
        <v>44729</v>
      </c>
      <c r="M1435" s="19" t="str">
        <f>IFERROR(__xludf.DUMMYFUNCTION("""COMPUTED_VALUE"""),"PCM")</f>
        <v>PCM</v>
      </c>
      <c r="N1435" s="19" t="str">
        <f>IFERROR(__xludf.DUMMYFUNCTION("""COMPUTED_VALUE"""),"PRIORIDAD 1 Q3 2023 OCTUBRE")</f>
        <v>PRIORIDAD 1 Q3 2023 OCTUBRE</v>
      </c>
    </row>
    <row r="1436" ht="15.75" customHeight="1">
      <c r="A1436" s="19" t="str">
        <f>IFERROR(__xludf.DUMMYFUNCTION("""COMPUTED_VALUE"""),"AB_2160")</f>
        <v>AB_2160</v>
      </c>
      <c r="B1436" s="19" t="str">
        <f>IFERROR(__xludf.DUMMYFUNCTION("""COMPUTED_VALUE"""),"AB_2160_A")</f>
        <v>AB_2160_A</v>
      </c>
      <c r="C1436" s="19" t="str">
        <f>IFERROR(__xludf.DUMMYFUNCTION("""COMPUTED_VALUE"""),"AN2160")</f>
        <v>AN2160</v>
      </c>
      <c r="D1436" s="19" t="str">
        <f>IFERROR(__xludf.DUMMYFUNCTION("""COMPUTED_VALUE"""),"Valle de la Luna Repetidor")</f>
        <v>Valle de la Luna Repetidor</v>
      </c>
      <c r="E1436" s="19" t="str">
        <f>IFERROR(__xludf.DUMMYFUNCTION("""COMPUTED_VALUE"""),"DETENIDO COMPRA ESTRUCTURA")</f>
        <v>DETENIDO COMPRA ESTRUCTURA</v>
      </c>
      <c r="F1436" s="19"/>
      <c r="G1436" s="19" t="str">
        <f>IFERROR(__xludf.DUMMYFUNCTION("""COMPUTED_VALUE"""),"AS60")</f>
        <v>AS60</v>
      </c>
      <c r="H1436" s="19" t="str">
        <f>IFERROR(__xludf.DUMMYFUNCTION("""COMPUTED_VALUE"""),"COMPRAS")</f>
        <v>COMPRAS</v>
      </c>
      <c r="I1436" s="19"/>
      <c r="J1436" s="19"/>
      <c r="K1436" s="19"/>
      <c r="L1436" s="19"/>
      <c r="M1436" s="19" t="str">
        <f>IFERROR(__xludf.DUMMYFUNCTION("""COMPUTED_VALUE"""),"PP")</f>
        <v>PP</v>
      </c>
      <c r="N1436" s="19" t="str">
        <f>IFERROR(__xludf.DUMMYFUNCTION("""COMPUTED_VALUE"""),"PRIORIDAD 2 Q4 2023 DICIEMBRE")</f>
        <v>PRIORIDAD 2 Q4 2023 DICIEMBRE</v>
      </c>
    </row>
    <row r="1437" ht="15.75" customHeight="1">
      <c r="A1437" s="19" t="str">
        <f>IFERROR(__xludf.DUMMYFUNCTION("""COMPUTED_VALUE"""),"AB_9376")</f>
        <v>AB_9376</v>
      </c>
      <c r="B1437" s="19" t="str">
        <f>IFERROR(__xludf.DUMMYFUNCTION("""COMPUTED_VALUE"""),"AB_9376_A")</f>
        <v>AB_9376_A</v>
      </c>
      <c r="C1437" s="19" t="str">
        <f>IFERROR(__xludf.DUMMYFUNCTION("""COMPUTED_VALUE"""),"TA9376")</f>
        <v>TA9376</v>
      </c>
      <c r="D1437" s="19" t="str">
        <f>IFERROR(__xludf.DUMMYFUNCTION("""COMPUTED_VALUE"""),"Ruta 16 Estacion Pampa Perdiz")</f>
        <v>Ruta 16 Estacion Pampa Perdiz</v>
      </c>
      <c r="E1437" s="19" t="str">
        <f>IFERROR(__xludf.DUMMYFUNCTION("""COMPUTED_VALUE"""),"SITIO EN CONSTRUCCION")</f>
        <v>SITIO EN CONSTRUCCION</v>
      </c>
      <c r="F1437" s="19" t="str">
        <f>IFERROR(__xludf.DUMMYFUNCTION("""COMPUTED_VALUE"""),"ENFIERRADURA")</f>
        <v>ENFIERRADURA</v>
      </c>
      <c r="G1437" s="19" t="str">
        <f>IFERROR(__xludf.DUMMYFUNCTION("""COMPUTED_VALUE"""),"AS60")</f>
        <v>AS60</v>
      </c>
      <c r="H1437" s="19" t="str">
        <f>IFERROR(__xludf.DUMMYFUNCTION("""COMPUTED_VALUE"""),"JTI")</f>
        <v>JTI</v>
      </c>
      <c r="I1437" s="19" t="str">
        <f>IFERROR(__xludf.DUMMYFUNCTION("""COMPUTED_VALUE"""),"Terminada")</f>
        <v>Terminada</v>
      </c>
      <c r="J1437" s="20">
        <f>IFERROR(__xludf.DUMMYFUNCTION("""COMPUTED_VALUE"""),45034.0)</f>
        <v>45034</v>
      </c>
      <c r="K1437" s="19" t="str">
        <f>IFERROR(__xludf.DUMMYFUNCTION("""COMPUTED_VALUE"""),"Por pintar ")</f>
        <v>Por pintar </v>
      </c>
      <c r="L1437" s="20">
        <f>IFERROR(__xludf.DUMMYFUNCTION("""COMPUTED_VALUE"""),45037.0)</f>
        <v>45037</v>
      </c>
      <c r="M1437" s="19" t="str">
        <f>IFERROR(__xludf.DUMMYFUNCTION("""COMPUTED_VALUE"""),"PCM")</f>
        <v>PCM</v>
      </c>
      <c r="N1437" s="19" t="str">
        <f>IFERROR(__xludf.DUMMYFUNCTION("""COMPUTED_VALUE"""),"PRIORIDAD 1 Q3 2023 OCTUBRE")</f>
        <v>PRIORIDAD 1 Q3 2023 OCTUBRE</v>
      </c>
    </row>
    <row r="1438" ht="15.75" customHeight="1">
      <c r="A1438" s="19" t="str">
        <f>IFERROR(__xludf.DUMMYFUNCTION("""COMPUTED_VALUE"""),"AB_2274")</f>
        <v>AB_2274</v>
      </c>
      <c r="B1438" s="19" t="str">
        <f>IFERROR(__xludf.DUMMYFUNCTION("""COMPUTED_VALUE"""),"AB_2274_E")</f>
        <v>AB_2274_E</v>
      </c>
      <c r="C1438" s="19" t="str">
        <f>IFERROR(__xludf.DUMMYFUNCTION("""COMPUTED_VALUE"""),"AN2274")</f>
        <v>AN2274</v>
      </c>
      <c r="D1438" s="19" t="str">
        <f>IFERROR(__xludf.DUMMYFUNCTION("""COMPUTED_VALUE"""),"Calama Aeropuerto")</f>
        <v>Calama Aeropuerto</v>
      </c>
      <c r="E1438" s="19" t="str">
        <f>IFERROR(__xludf.DUMMYFUNCTION("""COMPUTED_VALUE"""),"SITIO PENDIENTE")</f>
        <v>SITIO PENDIENTE</v>
      </c>
      <c r="F1438" s="19"/>
      <c r="G1438" s="19" t="str">
        <f>IFERROR(__xludf.DUMMYFUNCTION("""COMPUTED_VALUE"""),"MP18")</f>
        <v>MP18</v>
      </c>
      <c r="H1438" s="19" t="str">
        <f>IFERROR(__xludf.DUMMYFUNCTION("""COMPUTED_VALUE"""),"")</f>
        <v/>
      </c>
      <c r="I1438" s="19" t="str">
        <f>IFERROR(__xludf.DUMMYFUNCTION("""COMPUTED_VALUE"""),"")</f>
        <v/>
      </c>
      <c r="J1438" s="20" t="str">
        <f>IFERROR(__xludf.DUMMYFUNCTION("""COMPUTED_VALUE"""),"")</f>
        <v/>
      </c>
      <c r="K1438" s="19" t="str">
        <f>IFERROR(__xludf.DUMMYFUNCTION("""COMPUTED_VALUE"""),"")</f>
        <v/>
      </c>
      <c r="L1438" s="20" t="str">
        <f>IFERROR(__xludf.DUMMYFUNCTION("""COMPUTED_VALUE"""),"")</f>
        <v/>
      </c>
      <c r="M1438" s="19" t="str">
        <f>IFERROR(__xludf.DUMMYFUNCTION("""COMPUTED_VALUE"""),"PP")</f>
        <v>PP</v>
      </c>
      <c r="N1438" s="19" t="str">
        <f>IFERROR(__xludf.DUMMYFUNCTION("""COMPUTED_VALUE"""),"PRIORIDAD 3 Q1 2024 MARZO")</f>
        <v>PRIORIDAD 3 Q1 2024 MARZO</v>
      </c>
    </row>
    <row r="1439" ht="15.75" customHeight="1">
      <c r="A1439" s="19" t="str">
        <f>IFERROR(__xludf.DUMMYFUNCTION("""COMPUTED_VALUE"""),"AB_2449")</f>
        <v>AB_2449</v>
      </c>
      <c r="B1439" s="19" t="str">
        <f>IFERROR(__xludf.DUMMYFUNCTION("""COMPUTED_VALUE"""),"AB_2449_A")</f>
        <v>AB_2449_A</v>
      </c>
      <c r="C1439" s="19" t="str">
        <f>IFERROR(__xludf.DUMMYFUNCTION("""COMPUTED_VALUE"""),"AN2449")</f>
        <v>AN2449</v>
      </c>
      <c r="D1439" s="19" t="str">
        <f>IFERROR(__xludf.DUMMYFUNCTION("""COMPUTED_VALUE"""),"Minera Pedro de Valdivia SQM")</f>
        <v>Minera Pedro de Valdivia SQM</v>
      </c>
      <c r="E1439" s="19" t="str">
        <f>IFERROR(__xludf.DUMMYFUNCTION("""COMPUTED_VALUE"""),"SITIO RFI")</f>
        <v>SITIO RFI</v>
      </c>
      <c r="F1439" s="20" t="str">
        <f>IFERROR(__xludf.DUMMYFUNCTION("""COMPUTED_VALUE"""),"RFI")</f>
        <v>RFI</v>
      </c>
      <c r="G1439" s="19" t="str">
        <f>IFERROR(__xludf.DUMMYFUNCTION("""COMPUTED_VALUE"""),"CV42")</f>
        <v>CV42</v>
      </c>
      <c r="H1439" s="19" t="str">
        <f>IFERROR(__xludf.DUMMYFUNCTION("""COMPUTED_VALUE"""),"DEPROMET")</f>
        <v>DEPROMET</v>
      </c>
      <c r="I1439" s="19" t="str">
        <f>IFERROR(__xludf.DUMMYFUNCTION("""COMPUTED_VALUE"""),"Entregada")</f>
        <v>Entregada</v>
      </c>
      <c r="J1439" s="20">
        <f>IFERROR(__xludf.DUMMYFUNCTION("""COMPUTED_VALUE"""),44764.0)</f>
        <v>44764</v>
      </c>
      <c r="K1439" s="19" t="str">
        <f>IFERROR(__xludf.DUMMYFUNCTION("""COMPUTED_VALUE"""),"Entregada")</f>
        <v>Entregada</v>
      </c>
      <c r="L1439" s="20">
        <f>IFERROR(__xludf.DUMMYFUNCTION("""COMPUTED_VALUE"""),44771.0)</f>
        <v>44771</v>
      </c>
      <c r="M1439" s="19" t="str">
        <f>IFERROR(__xludf.DUMMYFUNCTION("""COMPUTED_VALUE"""),"PCM")</f>
        <v>PCM</v>
      </c>
      <c r="N1439" s="19" t="str">
        <f>IFERROR(__xludf.DUMMYFUNCTION("""COMPUTED_VALUE"""),"PRIORIDAD 1 Q3 2023 OCTUBRE")</f>
        <v>PRIORIDAD 1 Q3 2023 OCTUBRE</v>
      </c>
    </row>
    <row r="1440" ht="15.75" customHeight="1">
      <c r="A1440" s="19" t="str">
        <f>IFERROR(__xludf.DUMMYFUNCTION("""COMPUTED_VALUE"""),"AB_2608")</f>
        <v>AB_2608</v>
      </c>
      <c r="B1440" s="19" t="str">
        <f>IFERROR(__xludf.DUMMYFUNCTION("""COMPUTED_VALUE"""),"AB_2608_G")</f>
        <v>AB_2608_G</v>
      </c>
      <c r="C1440" s="19" t="str">
        <f>IFERROR(__xludf.DUMMYFUNCTION("""COMPUTED_VALUE"""),"AN2608")</f>
        <v>AN2608</v>
      </c>
      <c r="D1440" s="19" t="str">
        <f>IFERROR(__xludf.DUMMYFUNCTION("""COMPUTED_VALUE"""),"Sierra Baja")</f>
        <v>Sierra Baja</v>
      </c>
      <c r="E1440" s="19" t="str">
        <f>IFERROR(__xludf.DUMMYFUNCTION("""COMPUTED_VALUE"""),"SITIO PENDIENTE")</f>
        <v>SITIO PENDIENTE</v>
      </c>
      <c r="F1440" s="19"/>
      <c r="G1440" s="19" t="str">
        <f>IFERROR(__xludf.DUMMYFUNCTION("""COMPUTED_VALUE"""),"AS60")</f>
        <v>AS60</v>
      </c>
      <c r="H1440" s="19" t="str">
        <f>IFERROR(__xludf.DUMMYFUNCTION("""COMPUTED_VALUE"""),"COMPRAS")</f>
        <v>COMPRAS</v>
      </c>
      <c r="I1440" s="19"/>
      <c r="J1440" s="19"/>
      <c r="K1440" s="19"/>
      <c r="L1440" s="19"/>
      <c r="M1440" s="19" t="str">
        <f>IFERROR(__xludf.DUMMYFUNCTION("""COMPUTED_VALUE"""),"PCM")</f>
        <v>PCM</v>
      </c>
      <c r="N1440" s="19" t="str">
        <f>IFERROR(__xludf.DUMMYFUNCTION("""COMPUTED_VALUE"""),"PRIORIDAD 2 Q4 2023 DICIEMBRE")</f>
        <v>PRIORIDAD 2 Q4 2023 DICIEMBRE</v>
      </c>
    </row>
    <row r="1441" ht="15.75" customHeight="1">
      <c r="A1441" s="19" t="str">
        <f>IFERROR(__xludf.DUMMYFUNCTION("""COMPUTED_VALUE"""),"AB_2799")</f>
        <v>AB_2799</v>
      </c>
      <c r="B1441" s="19" t="str">
        <f>IFERROR(__xludf.DUMMYFUNCTION("""COMPUTED_VALUE"""),"AB_2799_D")</f>
        <v>AB_2799_D</v>
      </c>
      <c r="C1441" s="19" t="str">
        <f>IFERROR(__xludf.DUMMYFUNCTION("""COMPUTED_VALUE"""),"AN2799")</f>
        <v>AN2799</v>
      </c>
      <c r="D1441" s="19" t="str">
        <f>IFERROR(__xludf.DUMMYFUNCTION("""COMPUTED_VALUE"""),"Hornitos")</f>
        <v>Hornitos</v>
      </c>
      <c r="E1441" s="19" t="str">
        <f>IFERROR(__xludf.DUMMYFUNCTION("""COMPUTED_VALUE"""),"SITIO PENDIENTE")</f>
        <v>SITIO PENDIENTE</v>
      </c>
      <c r="F1441" s="19"/>
      <c r="G1441" s="19" t="str">
        <f>IFERROR(__xludf.DUMMYFUNCTION("""COMPUTED_VALUE"""),"AS42")</f>
        <v>AS42</v>
      </c>
      <c r="H1441" s="19" t="str">
        <f>IFERROR(__xludf.DUMMYFUNCTION("""COMPUTED_VALUE"""),"JTI")</f>
        <v>JTI</v>
      </c>
      <c r="I1441" s="19" t="str">
        <f>IFERROR(__xludf.DUMMYFUNCTION("""COMPUTED_VALUE"""),"Terminada")</f>
        <v>Terminada</v>
      </c>
      <c r="J1441" s="20">
        <f>IFERROR(__xludf.DUMMYFUNCTION("""COMPUTED_VALUE"""),45034.0)</f>
        <v>45034</v>
      </c>
      <c r="K1441" s="19" t="str">
        <f>IFERROR(__xludf.DUMMYFUNCTION("""COMPUTED_VALUE"""),"Por pintar ")</f>
        <v>Por pintar </v>
      </c>
      <c r="L1441" s="20">
        <f>IFERROR(__xludf.DUMMYFUNCTION("""COMPUTED_VALUE"""),45058.0)</f>
        <v>45058</v>
      </c>
      <c r="M1441" s="19" t="str">
        <f>IFERROR(__xludf.DUMMYFUNCTION("""COMPUTED_VALUE"""),"PCM")</f>
        <v>PCM</v>
      </c>
      <c r="N1441" s="19" t="str">
        <f>IFERROR(__xludf.DUMMYFUNCTION("""COMPUTED_VALUE"""),"PRIORIDAD 2 Q4 2023 DICIEMBRE")</f>
        <v>PRIORIDAD 2 Q4 2023 DICIEMBRE</v>
      </c>
    </row>
    <row r="1442" ht="15.75" customHeight="1">
      <c r="A1442" s="19" t="str">
        <f>IFERROR(__xludf.DUMMYFUNCTION("""COMPUTED_VALUE"""),"AB_3144")</f>
        <v>AB_3144</v>
      </c>
      <c r="B1442" s="19" t="str">
        <f>IFERROR(__xludf.DUMMYFUNCTION("""COMPUTED_VALUE"""),"AB_3144_A")</f>
        <v>AB_3144_A</v>
      </c>
      <c r="C1442" s="19" t="str">
        <f>IFERROR(__xludf.DUMMYFUNCTION("""COMPUTED_VALUE"""),"AN3144")</f>
        <v>AN3144</v>
      </c>
      <c r="D1442" s="19" t="str">
        <f>IFERROR(__xludf.DUMMYFUNCTION("""COMPUTED_VALUE"""),"Salar del Carmen")</f>
        <v>Salar del Carmen</v>
      </c>
      <c r="E1442" s="19" t="str">
        <f>IFERROR(__xludf.DUMMYFUNCTION("""COMPUTED_VALUE"""),"SITIO CONSTRUIDO")</f>
        <v>SITIO CONSTRUIDO</v>
      </c>
      <c r="F1442" s="19"/>
      <c r="G1442" s="19" t="str">
        <f>IFERROR(__xludf.DUMMYFUNCTION("""COMPUTED_VALUE"""),"MP R40")</f>
        <v>MP R40</v>
      </c>
      <c r="H1442" s="19" t="str">
        <f>IFERROR(__xludf.DUMMYFUNCTION("""COMPUTED_VALUE"""),"DEITEL")</f>
        <v>DEITEL</v>
      </c>
      <c r="I1442" s="19" t="str">
        <f>IFERROR(__xludf.DUMMYFUNCTION("""COMPUTED_VALUE"""),"Terminada")</f>
        <v>Terminada</v>
      </c>
      <c r="J1442" s="20">
        <f>IFERROR(__xludf.DUMMYFUNCTION("""COMPUTED_VALUE"""),44953.0)</f>
        <v>44953</v>
      </c>
      <c r="K1442" s="19" t="str">
        <f>IFERROR(__xludf.DUMMYFUNCTION("""COMPUTED_VALUE"""),"Por pintar ")</f>
        <v>Por pintar </v>
      </c>
      <c r="L1442" s="20">
        <f>IFERROR(__xludf.DUMMYFUNCTION("""COMPUTED_VALUE"""),44995.0)</f>
        <v>44995</v>
      </c>
      <c r="M1442" s="19" t="str">
        <f>IFERROR(__xludf.DUMMYFUNCTION("""COMPUTED_VALUE"""),"PP")</f>
        <v>PP</v>
      </c>
      <c r="N1442" s="19" t="str">
        <f>IFERROR(__xludf.DUMMYFUNCTION("""COMPUTED_VALUE"""),"PRIORIDAD 3 Q1 2024 MARZO")</f>
        <v>PRIORIDAD 3 Q1 2024 MARZO</v>
      </c>
    </row>
    <row r="1443" ht="15.75" customHeight="1">
      <c r="A1443" s="19" t="str">
        <f>IFERROR(__xludf.DUMMYFUNCTION("""COMPUTED_VALUE"""),"AB_3376")</f>
        <v>AB_3376</v>
      </c>
      <c r="B1443" s="19" t="str">
        <f>IFERROR(__xludf.DUMMYFUNCTION("""COMPUTED_VALUE"""),"AB_3376_C")</f>
        <v>AB_3376_C</v>
      </c>
      <c r="C1443" s="19" t="str">
        <f>IFERROR(__xludf.DUMMYFUNCTION("""COMPUTED_VALUE"""),"AN3376")</f>
        <v>AN3376</v>
      </c>
      <c r="D1443" s="19" t="str">
        <f>IFERROR(__xludf.DUMMYFUNCTION("""COMPUTED_VALUE"""),"Terrazas de Socaire")</f>
        <v>Terrazas de Socaire</v>
      </c>
      <c r="E1443" s="19" t="str">
        <f>IFERROR(__xludf.DUMMYFUNCTION("""COMPUTED_VALUE"""),"SITIO RFI")</f>
        <v>SITIO RFI</v>
      </c>
      <c r="F1443" s="20" t="str">
        <f>IFERROR(__xludf.DUMMYFUNCTION("""COMPUTED_VALUE"""),"RFI")</f>
        <v>RFI</v>
      </c>
      <c r="G1443" s="19" t="str">
        <f>IFERROR(__xludf.DUMMYFUNCTION("""COMPUTED_VALUE"""),"CV60")</f>
        <v>CV60</v>
      </c>
      <c r="H1443" s="19" t="str">
        <f>IFERROR(__xludf.DUMMYFUNCTION("""COMPUTED_VALUE"""),"ADM")</f>
        <v>ADM</v>
      </c>
      <c r="I1443" s="19" t="str">
        <f>IFERROR(__xludf.DUMMYFUNCTION("""COMPUTED_VALUE"""),"Entregada")</f>
        <v>Entregada</v>
      </c>
      <c r="J1443" s="20">
        <f>IFERROR(__xludf.DUMMYFUNCTION("""COMPUTED_VALUE"""),44743.0)</f>
        <v>44743</v>
      </c>
      <c r="K1443" s="19" t="str">
        <f>IFERROR(__xludf.DUMMYFUNCTION("""COMPUTED_VALUE"""),"Entregada")</f>
        <v>Entregada</v>
      </c>
      <c r="L1443" s="20">
        <f>IFERROR(__xludf.DUMMYFUNCTION("""COMPUTED_VALUE"""),44855.0)</f>
        <v>44855</v>
      </c>
      <c r="M1443" s="19" t="str">
        <f>IFERROR(__xludf.DUMMYFUNCTION("""COMPUTED_VALUE"""),"PCM")</f>
        <v>PCM</v>
      </c>
      <c r="N1443" s="19" t="str">
        <f>IFERROR(__xludf.DUMMYFUNCTION("""COMPUTED_VALUE"""),"PRIORIDAD 1 Q3 2023 OCTUBRE")</f>
        <v>PRIORIDAD 1 Q3 2023 OCTUBRE</v>
      </c>
    </row>
    <row r="1444" ht="15.75" customHeight="1">
      <c r="A1444" s="19" t="str">
        <f>IFERROR(__xludf.DUMMYFUNCTION("""COMPUTED_VALUE"""),"AB_3377")</f>
        <v>AB_3377</v>
      </c>
      <c r="B1444" s="19" t="str">
        <f>IFERROR(__xludf.DUMMYFUNCTION("""COMPUTED_VALUE"""),"AB_3377_A")</f>
        <v>AB_3377_A</v>
      </c>
      <c r="C1444" s="19" t="str">
        <f>IFERROR(__xludf.DUMMYFUNCTION("""COMPUTED_VALUE"""),"AN3377")</f>
        <v>AN3377</v>
      </c>
      <c r="D1444" s="19" t="str">
        <f>IFERROR(__xludf.DUMMYFUNCTION("""COMPUTED_VALUE"""),"Camino Desierto Norte")</f>
        <v>Camino Desierto Norte</v>
      </c>
      <c r="E1444" s="19" t="str">
        <f>IFERROR(__xludf.DUMMYFUNCTION("""COMPUTED_VALUE"""),"SITIO EN CONSTRUCCION")</f>
        <v>SITIO EN CONSTRUCCION</v>
      </c>
      <c r="F1444" s="19" t="str">
        <f>IFERROR(__xludf.DUMMYFUNCTION("""COMPUTED_VALUE"""),"EXCAVACION")</f>
        <v>EXCAVACION</v>
      </c>
      <c r="G1444" s="19" t="str">
        <f>IFERROR(__xludf.DUMMYFUNCTION("""COMPUTED_VALUE"""),"AS48")</f>
        <v>AS48</v>
      </c>
      <c r="H1444" s="19" t="str">
        <f>IFERROR(__xludf.DUMMYFUNCTION("""COMPUTED_VALUE"""),"ADM")</f>
        <v>ADM</v>
      </c>
      <c r="I1444" s="19" t="str">
        <f>IFERROR(__xludf.DUMMYFUNCTION("""COMPUTED_VALUE"""),"Entregada")</f>
        <v>Entregada</v>
      </c>
      <c r="J1444" s="20">
        <f>IFERROR(__xludf.DUMMYFUNCTION("""COMPUTED_VALUE"""),44750.0)</f>
        <v>44750</v>
      </c>
      <c r="K1444" s="19" t="str">
        <f>IFERROR(__xludf.DUMMYFUNCTION("""COMPUTED_VALUE"""),"Entregada")</f>
        <v>Entregada</v>
      </c>
      <c r="L1444" s="20">
        <f>IFERROR(__xludf.DUMMYFUNCTION("""COMPUTED_VALUE"""),44785.0)</f>
        <v>44785</v>
      </c>
      <c r="M1444" s="19" t="str">
        <f>IFERROR(__xludf.DUMMYFUNCTION("""COMPUTED_VALUE"""),"PCM")</f>
        <v>PCM</v>
      </c>
      <c r="N1444" s="19" t="str">
        <f>IFERROR(__xludf.DUMMYFUNCTION("""COMPUTED_VALUE"""),"PRIORIDAD 1 Q3 2023 OCTUBRE")</f>
        <v>PRIORIDAD 1 Q3 2023 OCTUBRE</v>
      </c>
    </row>
    <row r="1445" ht="15.75" customHeight="1">
      <c r="A1445" s="19" t="str">
        <f>IFERROR(__xludf.DUMMYFUNCTION("""COMPUTED_VALUE"""),"AB_3576")</f>
        <v>AB_3576</v>
      </c>
      <c r="B1445" s="19" t="str">
        <f>IFERROR(__xludf.DUMMYFUNCTION("""COMPUTED_VALUE"""),"AB_3576_B")</f>
        <v>AB_3576_B</v>
      </c>
      <c r="C1445" s="19" t="str">
        <f>IFERROR(__xludf.DUMMYFUNCTION("""COMPUTED_VALUE"""),"AN3576")</f>
        <v>AN3576</v>
      </c>
      <c r="D1445" s="19" t="str">
        <f>IFERROR(__xludf.DUMMYFUNCTION("""COMPUTED_VALUE"""),"Juantincho Sur")</f>
        <v>Juantincho Sur</v>
      </c>
      <c r="E1445" s="19" t="str">
        <f>IFERROR(__xludf.DUMMYFUNCTION("""COMPUTED_VALUE"""),"SITIO ASIGNADO")</f>
        <v>SITIO ASIGNADO</v>
      </c>
      <c r="F1445" s="19"/>
      <c r="G1445" s="19" t="str">
        <f>IFERROR(__xludf.DUMMYFUNCTION("""COMPUTED_VALUE"""),"AS36")</f>
        <v>AS36</v>
      </c>
      <c r="H1445" s="19" t="str">
        <f>IFERROR(__xludf.DUMMYFUNCTION("""COMPUTED_VALUE"""),"JTI")</f>
        <v>JTI</v>
      </c>
      <c r="I1445" s="19" t="str">
        <f>IFERROR(__xludf.DUMMYFUNCTION("""COMPUTED_VALUE"""),"Terminada")</f>
        <v>Terminada</v>
      </c>
      <c r="J1445" s="20">
        <f>IFERROR(__xludf.DUMMYFUNCTION("""COMPUTED_VALUE"""),45000.0)</f>
        <v>45000</v>
      </c>
      <c r="K1445" s="19" t="str">
        <f>IFERROR(__xludf.DUMMYFUNCTION("""COMPUTED_VALUE"""),"Terminada")</f>
        <v>Terminada</v>
      </c>
      <c r="L1445" s="20">
        <f>IFERROR(__xludf.DUMMYFUNCTION("""COMPUTED_VALUE"""),45000.0)</f>
        <v>45000</v>
      </c>
      <c r="M1445" s="19" t="str">
        <f>IFERROR(__xludf.DUMMYFUNCTION("""COMPUTED_VALUE"""),"PP")</f>
        <v>PP</v>
      </c>
      <c r="N1445" s="19" t="str">
        <f>IFERROR(__xludf.DUMMYFUNCTION("""COMPUTED_VALUE"""),"PRIORIDAD 1 Q3 2023 OCTUBRE")</f>
        <v>PRIORIDAD 1 Q3 2023 OCTUBRE</v>
      </c>
    </row>
    <row r="1446" ht="15.75" customHeight="1">
      <c r="A1446" s="19" t="str">
        <f>IFERROR(__xludf.DUMMYFUNCTION("""COMPUTED_VALUE"""),"AB_5756")</f>
        <v>AB_5756</v>
      </c>
      <c r="B1446" s="19" t="str">
        <f>IFERROR(__xludf.DUMMYFUNCTION("""COMPUTED_VALUE"""),"AB_5756_B")</f>
        <v>AB_5756_B</v>
      </c>
      <c r="C1446" s="19" t="str">
        <f>IFERROR(__xludf.DUMMYFUNCTION("""COMPUTED_VALUE"""),"AN5756")</f>
        <v>AN5756</v>
      </c>
      <c r="D1446" s="19" t="str">
        <f>IFERROR(__xludf.DUMMYFUNCTION("""COMPUTED_VALUE"""),"Cerro Barriles")</f>
        <v>Cerro Barriles</v>
      </c>
      <c r="E1446" s="19" t="str">
        <f>IFERROR(__xludf.DUMMYFUNCTION("""COMPUTED_VALUE"""),"SITIO EN CONSTRUCCION")</f>
        <v>SITIO EN CONSTRUCCION</v>
      </c>
      <c r="F1446" s="19" t="str">
        <f>IFERROR(__xludf.DUMMYFUNCTION("""COMPUTED_VALUE"""),"EXCAVACION")</f>
        <v>EXCAVACION</v>
      </c>
      <c r="G1446" s="19" t="str">
        <f>IFERROR(__xludf.DUMMYFUNCTION("""COMPUTED_VALUE"""),"AS48")</f>
        <v>AS48</v>
      </c>
      <c r="H1446" s="19" t="str">
        <f>IFERROR(__xludf.DUMMYFUNCTION("""COMPUTED_VALUE"""),"ADM")</f>
        <v>ADM</v>
      </c>
      <c r="I1446" s="19" t="str">
        <f>IFERROR(__xludf.DUMMYFUNCTION("""COMPUTED_VALUE"""),"Terminada")</f>
        <v>Terminada</v>
      </c>
      <c r="J1446" s="20">
        <f>IFERROR(__xludf.DUMMYFUNCTION("""COMPUTED_VALUE"""),44750.0)</f>
        <v>44750</v>
      </c>
      <c r="K1446" s="19" t="str">
        <f>IFERROR(__xludf.DUMMYFUNCTION("""COMPUTED_VALUE"""),"Terminada")</f>
        <v>Terminada</v>
      </c>
      <c r="L1446" s="20">
        <f>IFERROR(__xludf.DUMMYFUNCTION("""COMPUTED_VALUE"""),44785.0)</f>
        <v>44785</v>
      </c>
      <c r="M1446" s="19" t="str">
        <f>IFERROR(__xludf.DUMMYFUNCTION("""COMPUTED_VALUE"""),"PCM")</f>
        <v>PCM</v>
      </c>
      <c r="N1446" s="19" t="str">
        <f>IFERROR(__xludf.DUMMYFUNCTION("""COMPUTED_VALUE"""),"PRIORIDAD 2 Q4 2023 DICIEMBRE")</f>
        <v>PRIORIDAD 2 Q4 2023 DICIEMBRE</v>
      </c>
    </row>
    <row r="1447" ht="15.75" customHeight="1">
      <c r="A1447" s="19" t="str">
        <f>IFERROR(__xludf.DUMMYFUNCTION("""COMPUTED_VALUE"""),"AB_6236")</f>
        <v>AB_6236</v>
      </c>
      <c r="B1447" s="19" t="str">
        <f>IFERROR(__xludf.DUMMYFUNCTION("""COMPUTED_VALUE"""),"AB_6236_C")</f>
        <v>AB_6236_C</v>
      </c>
      <c r="C1447" s="19" t="str">
        <f>IFERROR(__xludf.DUMMYFUNCTION("""COMPUTED_VALUE"""),"AN6236")</f>
        <v>AN6236</v>
      </c>
      <c r="D1447" s="19" t="str">
        <f>IFERROR(__xludf.DUMMYFUNCTION("""COMPUTED_VALUE"""),"San Pedro de Atacama Sur")</f>
        <v>San Pedro de Atacama Sur</v>
      </c>
      <c r="E1447" s="19" t="str">
        <f>IFERROR(__xludf.DUMMYFUNCTION("""COMPUTED_VALUE"""),"SITIO EN CONSTRUCCION")</f>
        <v>SITIO EN CONSTRUCCION</v>
      </c>
      <c r="F1447" s="19" t="str">
        <f>IFERROR(__xludf.DUMMYFUNCTION("""COMPUTED_VALUE"""),"HORMIGONADO")</f>
        <v>HORMIGONADO</v>
      </c>
      <c r="G1447" s="19" t="str">
        <f>IFERROR(__xludf.DUMMYFUNCTION("""COMPUTED_VALUE"""),"MP R30")</f>
        <v>MP R30</v>
      </c>
      <c r="H1447" s="19" t="str">
        <f>IFERROR(__xludf.DUMMYFUNCTION("""COMPUTED_VALUE"""),"INICIATIVA")</f>
        <v>INICIATIVA</v>
      </c>
      <c r="I1447" s="19" t="str">
        <f>IFERROR(__xludf.DUMMYFUNCTION("""COMPUTED_VALUE"""),"Entregada")</f>
        <v>Entregada</v>
      </c>
      <c r="J1447" s="20">
        <f>IFERROR(__xludf.DUMMYFUNCTION("""COMPUTED_VALUE"""),45072.0)</f>
        <v>45072</v>
      </c>
      <c r="K1447" s="19" t="str">
        <f>IFERROR(__xludf.DUMMYFUNCTION("""COMPUTED_VALUE"""),"Terminada")</f>
        <v>Terminada</v>
      </c>
      <c r="L1447" s="20">
        <f>IFERROR(__xludf.DUMMYFUNCTION("""COMPUTED_VALUE"""),45100.0)</f>
        <v>45100</v>
      </c>
      <c r="M1447" s="19" t="str">
        <f>IFERROR(__xludf.DUMMYFUNCTION("""COMPUTED_VALUE"""),"PP")</f>
        <v>PP</v>
      </c>
      <c r="N1447" s="19" t="str">
        <f>IFERROR(__xludf.DUMMYFUNCTION("""COMPUTED_VALUE"""),"PRIORIDAD 1 Q3 2023 OCTUBRE")</f>
        <v>PRIORIDAD 1 Q3 2023 OCTUBRE</v>
      </c>
    </row>
    <row r="1448" ht="15.75" customHeight="1">
      <c r="A1448" s="19" t="str">
        <f>IFERROR(__xludf.DUMMYFUNCTION("""COMPUTED_VALUE"""),"AB_7207")</f>
        <v>AB_7207</v>
      </c>
      <c r="B1448" s="19" t="str">
        <f>IFERROR(__xludf.DUMMYFUNCTION("""COMPUTED_VALUE"""),"AB_7207_B")</f>
        <v>AB_7207_B</v>
      </c>
      <c r="C1448" s="19" t="str">
        <f>IFERROR(__xludf.DUMMYFUNCTION("""COMPUTED_VALUE"""),"AN7207")</f>
        <v>AN7207</v>
      </c>
      <c r="D1448" s="19" t="str">
        <f>IFERROR(__xludf.DUMMYFUNCTION("""COMPUTED_VALUE"""),"Tocopilla Tres Marias")</f>
        <v>Tocopilla Tres Marias</v>
      </c>
      <c r="E1448" s="19" t="str">
        <f>IFERROR(__xludf.DUMMYFUNCTION("""COMPUTED_VALUE"""),"SITIO RFI")</f>
        <v>SITIO RFI</v>
      </c>
      <c r="F1448" s="20" t="str">
        <f>IFERROR(__xludf.DUMMYFUNCTION("""COMPUTED_VALUE"""),"RFI")</f>
        <v>RFI</v>
      </c>
      <c r="G1448" s="19" t="str">
        <f>IFERROR(__xludf.DUMMYFUNCTION("""COMPUTED_VALUE"""),"MP R18")</f>
        <v>MP R18</v>
      </c>
      <c r="H1448" s="19" t="str">
        <f>IFERROR(__xludf.DUMMYFUNCTION("""COMPUTED_VALUE"""),"AJ")</f>
        <v>AJ</v>
      </c>
      <c r="I1448" s="19" t="str">
        <f>IFERROR(__xludf.DUMMYFUNCTION("""COMPUTED_VALUE"""),"Entregada")</f>
        <v>Entregada</v>
      </c>
      <c r="J1448" s="20">
        <f>IFERROR(__xludf.DUMMYFUNCTION("""COMPUTED_VALUE"""),44684.0)</f>
        <v>44684</v>
      </c>
      <c r="K1448" s="19" t="str">
        <f>IFERROR(__xludf.DUMMYFUNCTION("""COMPUTED_VALUE"""),"Entregada")</f>
        <v>Entregada</v>
      </c>
      <c r="L1448" s="20">
        <f>IFERROR(__xludf.DUMMYFUNCTION("""COMPUTED_VALUE"""),44830.0)</f>
        <v>44830</v>
      </c>
      <c r="M1448" s="19" t="str">
        <f>IFERROR(__xludf.DUMMYFUNCTION("""COMPUTED_VALUE"""),"PCM")</f>
        <v>PCM</v>
      </c>
      <c r="N1448" s="19" t="str">
        <f>IFERROR(__xludf.DUMMYFUNCTION("""COMPUTED_VALUE"""),"PRIORIDAD 1 Q3 2023 OCTUBRE")</f>
        <v>PRIORIDAD 1 Q3 2023 OCTUBRE</v>
      </c>
    </row>
    <row r="1449" ht="15.75" customHeight="1">
      <c r="A1449" s="19" t="str">
        <f>IFERROR(__xludf.DUMMYFUNCTION("""COMPUTED_VALUE"""),"AB_7623")</f>
        <v>AB_7623</v>
      </c>
      <c r="B1449" s="19" t="str">
        <f>IFERROR(__xludf.DUMMYFUNCTION("""COMPUTED_VALUE"""),"AB_7623_E")</f>
        <v>AB_7623_E</v>
      </c>
      <c r="C1449" s="19" t="str">
        <f>IFERROR(__xludf.DUMMYFUNCTION("""COMPUTED_VALUE"""),"AN7623")</f>
        <v>AN7623</v>
      </c>
      <c r="D1449" s="19" t="str">
        <f>IFERROR(__xludf.DUMMYFUNCTION("""COMPUTED_VALUE"""),"Cruce Calama Maria Elena")</f>
        <v>Cruce Calama Maria Elena</v>
      </c>
      <c r="E1449" s="19" t="str">
        <f>IFERROR(__xludf.DUMMYFUNCTION("""COMPUTED_VALUE"""),"SITIO RFI")</f>
        <v>SITIO RFI</v>
      </c>
      <c r="F1449" s="20" t="str">
        <f>IFERROR(__xludf.DUMMYFUNCTION("""COMPUTED_VALUE"""),"RFI")</f>
        <v>RFI</v>
      </c>
      <c r="G1449" s="19" t="str">
        <f>IFERROR(__xludf.DUMMYFUNCTION("""COMPUTED_VALUE"""),"AS30")</f>
        <v>AS30</v>
      </c>
      <c r="H1449" s="19" t="str">
        <f>IFERROR(__xludf.DUMMYFUNCTION("""COMPUTED_VALUE"""),"METALING")</f>
        <v>METALING</v>
      </c>
      <c r="I1449" s="19" t="str">
        <f>IFERROR(__xludf.DUMMYFUNCTION("""COMPUTED_VALUE"""),"Entregada")</f>
        <v>Entregada</v>
      </c>
      <c r="J1449" s="20">
        <f>IFERROR(__xludf.DUMMYFUNCTION("""COMPUTED_VALUE"""),44736.0)</f>
        <v>44736</v>
      </c>
      <c r="K1449" s="19" t="str">
        <f>IFERROR(__xludf.DUMMYFUNCTION("""COMPUTED_VALUE"""),"Entregada")</f>
        <v>Entregada</v>
      </c>
      <c r="L1449" s="20">
        <f>IFERROR(__xludf.DUMMYFUNCTION("""COMPUTED_VALUE"""),44743.0)</f>
        <v>44743</v>
      </c>
      <c r="M1449" s="19" t="str">
        <f>IFERROR(__xludf.DUMMYFUNCTION("""COMPUTED_VALUE"""),"PCM")</f>
        <v>PCM</v>
      </c>
      <c r="N1449" s="19" t="str">
        <f>IFERROR(__xludf.DUMMYFUNCTION("""COMPUTED_VALUE"""),"PRIORIDAD 1 Q3 2023 OCTUBRE")</f>
        <v>PRIORIDAD 1 Q3 2023 OCTUBRE</v>
      </c>
    </row>
    <row r="1450" ht="15.75" customHeight="1">
      <c r="A1450" s="19" t="str">
        <f>IFERROR(__xludf.DUMMYFUNCTION("""COMPUTED_VALUE"""),"AB_9130")</f>
        <v>AB_9130</v>
      </c>
      <c r="B1450" s="19" t="str">
        <f>IFERROR(__xludf.DUMMYFUNCTION("""COMPUTED_VALUE"""),"AB_9130_D")</f>
        <v>AB_9130_D</v>
      </c>
      <c r="C1450" s="19" t="str">
        <f>IFERROR(__xludf.DUMMYFUNCTION("""COMPUTED_VALUE"""),"AN9130")</f>
        <v>AN9130</v>
      </c>
      <c r="D1450" s="19" t="str">
        <f>IFERROR(__xludf.DUMMYFUNCTION("""COMPUTED_VALUE"""),"Valle del Tiempo - San Pedro")</f>
        <v>Valle del Tiempo - San Pedro</v>
      </c>
      <c r="E1450" s="19" t="str">
        <f>IFERROR(__xludf.DUMMYFUNCTION("""COMPUTED_VALUE"""),"SITIO PENDIENTE")</f>
        <v>SITIO PENDIENTE</v>
      </c>
      <c r="F1450" s="19"/>
      <c r="G1450" s="19" t="str">
        <f>IFERROR(__xludf.DUMMYFUNCTION("""COMPUTED_VALUE"""),"x")</f>
        <v>x</v>
      </c>
      <c r="H1450" s="19" t="str">
        <f>IFERROR(__xludf.DUMMYFUNCTION("""COMPUTED_VALUE"""),"x")</f>
        <v>x</v>
      </c>
      <c r="I1450" s="19" t="str">
        <f>IFERROR(__xludf.DUMMYFUNCTION("""COMPUTED_VALUE"""),"x")</f>
        <v>x</v>
      </c>
      <c r="J1450" s="20" t="str">
        <f>IFERROR(__xludf.DUMMYFUNCTION("""COMPUTED_VALUE"""),"x")</f>
        <v>x</v>
      </c>
      <c r="K1450" s="19" t="str">
        <f>IFERROR(__xludf.DUMMYFUNCTION("""COMPUTED_VALUE"""),"x")</f>
        <v>x</v>
      </c>
      <c r="L1450" s="20" t="str">
        <f>IFERROR(__xludf.DUMMYFUNCTION("""COMPUTED_VALUE"""),"x")</f>
        <v>x</v>
      </c>
      <c r="M1450" s="19" t="str">
        <f>IFERROR(__xludf.DUMMYFUNCTION("""COMPUTED_VALUE"""),"PP")</f>
        <v>PP</v>
      </c>
      <c r="N1450" s="19" t="str">
        <f>IFERROR(__xludf.DUMMYFUNCTION("""COMPUTED_VALUE"""),"PRIORIDAD 3 Q1 2024 MARZO")</f>
        <v>PRIORIDAD 3 Q1 2024 MARZO</v>
      </c>
    </row>
    <row r="1451" ht="15.75" customHeight="1">
      <c r="A1451" s="19" t="str">
        <f>IFERROR(__xludf.DUMMYFUNCTION("""COMPUTED_VALUE"""),"AB_9494")</f>
        <v>AB_9494</v>
      </c>
      <c r="B1451" s="19" t="str">
        <f>IFERROR(__xludf.DUMMYFUNCTION("""COMPUTED_VALUE"""),"AB_9494_F")</f>
        <v>AB_9494_F</v>
      </c>
      <c r="C1451" s="19" t="str">
        <f>IFERROR(__xludf.DUMMYFUNCTION("""COMPUTED_VALUE"""),"AN9494")</f>
        <v>AN9494</v>
      </c>
      <c r="D1451" s="19" t="str">
        <f>IFERROR(__xludf.DUMMYFUNCTION("""COMPUTED_VALUE"""),"Ollague")</f>
        <v>Ollague</v>
      </c>
      <c r="E1451" s="19" t="str">
        <f>IFERROR(__xludf.DUMMYFUNCTION("""COMPUTED_VALUE"""),"DETENIDO COMUNIDAD")</f>
        <v>DETENIDO COMUNIDAD</v>
      </c>
      <c r="F1451" s="19"/>
      <c r="G1451" s="19" t="str">
        <f>IFERROR(__xludf.DUMMYFUNCTION("""COMPUTED_VALUE"""),"AS60")</f>
        <v>AS60</v>
      </c>
      <c r="H1451" s="19" t="str">
        <f>IFERROR(__xludf.DUMMYFUNCTION("""COMPUTED_VALUE"""),"COMPRAS")</f>
        <v>COMPRAS</v>
      </c>
      <c r="I1451" s="19"/>
      <c r="J1451" s="20"/>
      <c r="K1451" s="19"/>
      <c r="L1451" s="20"/>
      <c r="M1451" s="19" t="str">
        <f>IFERROR(__xludf.DUMMYFUNCTION("""COMPUTED_VALUE"""),"PCM")</f>
        <v>PCM</v>
      </c>
      <c r="N1451" s="19" t="str">
        <f>IFERROR(__xludf.DUMMYFUNCTION("""COMPUTED_VALUE"""),"PRIORIDAD 2 Q4 2023 DICIEMBRE")</f>
        <v>PRIORIDAD 2 Q4 2023 DICIEMBRE</v>
      </c>
    </row>
    <row r="1452" ht="15.75" customHeight="1">
      <c r="A1452" s="19" t="str">
        <f>IFERROR(__xludf.DUMMYFUNCTION("""COMPUTED_VALUE"""),"AB_9495")</f>
        <v>AB_9495</v>
      </c>
      <c r="B1452" s="19" t="str">
        <f>IFERROR(__xludf.DUMMYFUNCTION("""COMPUTED_VALUE"""),"AB_9495_B")</f>
        <v>AB_9495_B</v>
      </c>
      <c r="C1452" s="19" t="str">
        <f>IFERROR(__xludf.DUMMYFUNCTION("""COMPUTED_VALUE"""),"AN9495")</f>
        <v>AN9495</v>
      </c>
      <c r="D1452" s="19" t="str">
        <f>IFERROR(__xludf.DUMMYFUNCTION("""COMPUTED_VALUE"""),"Ruta 24 Estacion Quillagua")</f>
        <v>Ruta 24 Estacion Quillagua</v>
      </c>
      <c r="E1452" s="19" t="str">
        <f>IFERROR(__xludf.DUMMYFUNCTION("""COMPUTED_VALUE"""),"SITIO ASIGNADO")</f>
        <v>SITIO ASIGNADO</v>
      </c>
      <c r="F1452" s="19"/>
      <c r="G1452" s="19" t="str">
        <f>IFERROR(__xludf.DUMMYFUNCTION("""COMPUTED_VALUE"""),"CV36")</f>
        <v>CV36</v>
      </c>
      <c r="H1452" s="19" t="str">
        <f>IFERROR(__xludf.DUMMYFUNCTION("""COMPUTED_VALUE"""),"INGENIUS")</f>
        <v>INGENIUS</v>
      </c>
      <c r="I1452" s="19" t="str">
        <f>IFERROR(__xludf.DUMMYFUNCTION("""COMPUTED_VALUE"""),"Terminada")</f>
        <v>Terminada</v>
      </c>
      <c r="J1452" s="20">
        <f>IFERROR(__xludf.DUMMYFUNCTION("""COMPUTED_VALUE"""),45041.0)</f>
        <v>45041</v>
      </c>
      <c r="K1452" s="19" t="str">
        <f>IFERROR(__xludf.DUMMYFUNCTION("""COMPUTED_VALUE"""),"Por pintar ")</f>
        <v>Por pintar </v>
      </c>
      <c r="L1452" s="20">
        <f>IFERROR(__xludf.DUMMYFUNCTION("""COMPUTED_VALUE"""),45117.0)</f>
        <v>45117</v>
      </c>
      <c r="M1452" s="19" t="str">
        <f>IFERROR(__xludf.DUMMYFUNCTION("""COMPUTED_VALUE"""),"PP")</f>
        <v>PP</v>
      </c>
      <c r="N1452" s="19" t="str">
        <f>IFERROR(__xludf.DUMMYFUNCTION("""COMPUTED_VALUE"""),"PRIORIDAD 2 Q4 2023 DICIEMBRE")</f>
        <v>PRIORIDAD 2 Q4 2023 DICIEMBRE</v>
      </c>
    </row>
    <row r="1453" ht="15.75" customHeight="1">
      <c r="A1453" s="19" t="str">
        <f>IFERROR(__xludf.DUMMYFUNCTION("""COMPUTED_VALUE"""),"AB_9496")</f>
        <v>AB_9496</v>
      </c>
      <c r="B1453" s="19" t="str">
        <f>IFERROR(__xludf.DUMMYFUNCTION("""COMPUTED_VALUE"""),"AB_9496_A")</f>
        <v>AB_9496_A</v>
      </c>
      <c r="C1453" s="19" t="str">
        <f>IFERROR(__xludf.DUMMYFUNCTION("""COMPUTED_VALUE"""),"AN9496")</f>
        <v>AN9496</v>
      </c>
      <c r="D1453" s="19" t="str">
        <f>IFERROR(__xludf.DUMMYFUNCTION("""COMPUTED_VALUE"""),"Acceso Oriente Tocopilla")</f>
        <v>Acceso Oriente Tocopilla</v>
      </c>
      <c r="E1453" s="19" t="str">
        <f>IFERROR(__xludf.DUMMYFUNCTION("""COMPUTED_VALUE"""),"SITIO EN CONSTRUCCION")</f>
        <v>SITIO EN CONSTRUCCION</v>
      </c>
      <c r="F1453" s="19" t="str">
        <f>IFERROR(__xludf.DUMMYFUNCTION("""COMPUTED_VALUE"""),"VISITA")</f>
        <v>VISITA</v>
      </c>
      <c r="G1453" s="19" t="str">
        <f>IFERROR(__xludf.DUMMYFUNCTION("""COMPUTED_VALUE"""),"CV48")</f>
        <v>CV48</v>
      </c>
      <c r="H1453" s="19" t="str">
        <f>IFERROR(__xludf.DUMMYFUNCTION("""COMPUTED_VALUE"""),"MER")</f>
        <v>MER</v>
      </c>
      <c r="I1453" s="19" t="str">
        <f>IFERROR(__xludf.DUMMYFUNCTION("""COMPUTED_VALUE"""),"Terminada")</f>
        <v>Terminada</v>
      </c>
      <c r="J1453" s="20">
        <f>IFERROR(__xludf.DUMMYFUNCTION("""COMPUTED_VALUE"""),45051.0)</f>
        <v>45051</v>
      </c>
      <c r="K1453" s="19" t="str">
        <f>IFERROR(__xludf.DUMMYFUNCTION("""COMPUTED_VALUE"""),"Por pintar ")</f>
        <v>Por pintar </v>
      </c>
      <c r="L1453" s="20">
        <f>IFERROR(__xludf.DUMMYFUNCTION("""COMPUTED_VALUE"""),45054.0)</f>
        <v>45054</v>
      </c>
      <c r="M1453" s="19" t="str">
        <f>IFERROR(__xludf.DUMMYFUNCTION("""COMPUTED_VALUE"""),"PP")</f>
        <v>PP</v>
      </c>
      <c r="N1453" s="19" t="str">
        <f>IFERROR(__xludf.DUMMYFUNCTION("""COMPUTED_VALUE"""),"PRIORIDAD 2 Q4 2023 DICIEMBRE")</f>
        <v>PRIORIDAD 2 Q4 2023 DICIEMBRE</v>
      </c>
    </row>
    <row r="1454" ht="15.75" customHeight="1">
      <c r="A1454" s="19" t="str">
        <f>IFERROR(__xludf.DUMMYFUNCTION("""COMPUTED_VALUE"""),"AB_9497")</f>
        <v>AB_9497</v>
      </c>
      <c r="B1454" s="19" t="str">
        <f>IFERROR(__xludf.DUMMYFUNCTION("""COMPUTED_VALUE"""),"AB_9497_A")</f>
        <v>AB_9497_A</v>
      </c>
      <c r="C1454" s="19" t="str">
        <f>IFERROR(__xludf.DUMMYFUNCTION("""COMPUTED_VALUE"""),"AN9497")</f>
        <v>AN9497</v>
      </c>
      <c r="D1454" s="19" t="str">
        <f>IFERROR(__xludf.DUMMYFUNCTION("""COMPUTED_VALUE"""),"Estacion Barriles")</f>
        <v>Estacion Barriles</v>
      </c>
      <c r="E1454" s="19" t="str">
        <f>IFERROR(__xludf.DUMMYFUNCTION("""COMPUTED_VALUE"""),"SITIO EN CONSTRUCCION")</f>
        <v>SITIO EN CONSTRUCCION</v>
      </c>
      <c r="F1454" s="19" t="str">
        <f>IFERROR(__xludf.DUMMYFUNCTION("""COMPUTED_VALUE"""),"EXCAVACION")</f>
        <v>EXCAVACION</v>
      </c>
      <c r="G1454" s="19" t="str">
        <f>IFERROR(__xludf.DUMMYFUNCTION("""COMPUTED_VALUE"""),"CV36")</f>
        <v>CV36</v>
      </c>
      <c r="H1454" s="19" t="str">
        <f>IFERROR(__xludf.DUMMYFUNCTION("""COMPUTED_VALUE"""),"INCOSERV")</f>
        <v>INCOSERV</v>
      </c>
      <c r="I1454" s="19" t="str">
        <f>IFERROR(__xludf.DUMMYFUNCTION("""COMPUTED_VALUE"""),"Terminada")</f>
        <v>Terminada</v>
      </c>
      <c r="J1454" s="20">
        <f>IFERROR(__xludf.DUMMYFUNCTION("""COMPUTED_VALUE"""),45034.0)</f>
        <v>45034</v>
      </c>
      <c r="K1454" s="19" t="str">
        <f>IFERROR(__xludf.DUMMYFUNCTION("""COMPUTED_VALUE"""),"Por pintar ")</f>
        <v>Por pintar </v>
      </c>
      <c r="L1454" s="20">
        <f>IFERROR(__xludf.DUMMYFUNCTION("""COMPUTED_VALUE"""),45100.0)</f>
        <v>45100</v>
      </c>
      <c r="M1454" s="19" t="str">
        <f>IFERROR(__xludf.DUMMYFUNCTION("""COMPUTED_VALUE"""),"PP")</f>
        <v>PP</v>
      </c>
      <c r="N1454" s="19" t="str">
        <f>IFERROR(__xludf.DUMMYFUNCTION("""COMPUTED_VALUE"""),"PRIORIDAD 2 Q4 2023 DICIEMBRE")</f>
        <v>PRIORIDAD 2 Q4 2023 DICIEMBRE</v>
      </c>
    </row>
    <row r="1455" ht="15.75" customHeight="1">
      <c r="A1455" s="19" t="str">
        <f>IFERROR(__xludf.DUMMYFUNCTION("""COMPUTED_VALUE"""),"AB_9498")</f>
        <v>AB_9498</v>
      </c>
      <c r="B1455" s="19" t="str">
        <f>IFERROR(__xludf.DUMMYFUNCTION("""COMPUTED_VALUE"""),"AB_9498_A")</f>
        <v>AB_9498_A</v>
      </c>
      <c r="C1455" s="19" t="str">
        <f>IFERROR(__xludf.DUMMYFUNCTION("""COMPUTED_VALUE"""),"AN9498")</f>
        <v>AN9498</v>
      </c>
      <c r="D1455" s="19" t="str">
        <f>IFERROR(__xludf.DUMMYFUNCTION("""COMPUTED_VALUE"""),"Estacion Colupito")</f>
        <v>Estacion Colupito</v>
      </c>
      <c r="E1455" s="19" t="str">
        <f>IFERROR(__xludf.DUMMYFUNCTION("""COMPUTED_VALUE"""),"DETENIDO COMPRA ESTRUCTURA")</f>
        <v>DETENIDO COMPRA ESTRUCTURA</v>
      </c>
      <c r="F1455" s="19"/>
      <c r="G1455" s="19" t="str">
        <f>IFERROR(__xludf.DUMMYFUNCTION("""COMPUTED_VALUE"""),"AS48")</f>
        <v>AS48</v>
      </c>
      <c r="H1455" s="19" t="str">
        <f>IFERROR(__xludf.DUMMYFUNCTION("""COMPUTED_VALUE"""),"COMPRAS")</f>
        <v>COMPRAS</v>
      </c>
      <c r="I1455" s="19"/>
      <c r="J1455" s="19"/>
      <c r="K1455" s="19"/>
      <c r="L1455" s="19"/>
      <c r="M1455" s="19" t="str">
        <f>IFERROR(__xludf.DUMMYFUNCTION("""COMPUTED_VALUE"""),"PP")</f>
        <v>PP</v>
      </c>
      <c r="N1455" s="19" t="str">
        <f>IFERROR(__xludf.DUMMYFUNCTION("""COMPUTED_VALUE"""),"PRIORIDAD 2 Q4 2023 DICIEMBRE")</f>
        <v>PRIORIDAD 2 Q4 2023 DICIEMBRE</v>
      </c>
    </row>
    <row r="1456" ht="15.75" customHeight="1">
      <c r="A1456" s="19" t="str">
        <f>IFERROR(__xludf.DUMMYFUNCTION("""COMPUTED_VALUE"""),"AB_9499")</f>
        <v>AB_9499</v>
      </c>
      <c r="B1456" s="19" t="str">
        <f>IFERROR(__xludf.DUMMYFUNCTION("""COMPUTED_VALUE"""),"AB_9499_A")</f>
        <v>AB_9499_A</v>
      </c>
      <c r="C1456" s="19" t="str">
        <f>IFERROR(__xludf.DUMMYFUNCTION("""COMPUTED_VALUE"""),"AN9499")</f>
        <v>AN9499</v>
      </c>
      <c r="D1456" s="19" t="str">
        <f>IFERROR(__xludf.DUMMYFUNCTION("""COMPUTED_VALUE"""),"Ruta 24 Cerro Abra")</f>
        <v>Ruta 24 Cerro Abra</v>
      </c>
      <c r="E1456" s="19" t="str">
        <f>IFERROR(__xludf.DUMMYFUNCTION("""COMPUTED_VALUE"""),"DETENIDO FUERA DE PLAN")</f>
        <v>DETENIDO FUERA DE PLAN</v>
      </c>
      <c r="F1456" s="19"/>
      <c r="G1456" s="19" t="str">
        <f>IFERROR(__xludf.DUMMYFUNCTION("""COMPUTED_VALUE"""),"x")</f>
        <v>x</v>
      </c>
      <c r="H1456" s="19" t="str">
        <f>IFERROR(__xludf.DUMMYFUNCTION("""COMPUTED_VALUE"""),"x")</f>
        <v>x</v>
      </c>
      <c r="I1456" s="19" t="str">
        <f>IFERROR(__xludf.DUMMYFUNCTION("""COMPUTED_VALUE"""),"x")</f>
        <v>x</v>
      </c>
      <c r="J1456" s="20" t="str">
        <f>IFERROR(__xludf.DUMMYFUNCTION("""COMPUTED_VALUE"""),"x")</f>
        <v>x</v>
      </c>
      <c r="K1456" s="19" t="str">
        <f>IFERROR(__xludf.DUMMYFUNCTION("""COMPUTED_VALUE"""),"x")</f>
        <v>x</v>
      </c>
      <c r="L1456" s="20" t="str">
        <f>IFERROR(__xludf.DUMMYFUNCTION("""COMPUTED_VALUE"""),"x")</f>
        <v>x</v>
      </c>
      <c r="M1456" s="19" t="str">
        <f>IFERROR(__xludf.DUMMYFUNCTION("""COMPUTED_VALUE"""),"PP")</f>
        <v>PP</v>
      </c>
      <c r="N1456" s="19" t="str">
        <f>IFERROR(__xludf.DUMMYFUNCTION("""COMPUTED_VALUE"""),"PRIORIDAD 2 Q4 2023 DICIEMBRE")</f>
        <v>PRIORIDAD 2 Q4 2023 DICIEMBRE</v>
      </c>
    </row>
    <row r="1457" ht="15.75" customHeight="1">
      <c r="A1457" s="19" t="str">
        <f>IFERROR(__xludf.DUMMYFUNCTION("""COMPUTED_VALUE"""),"AB_9500")</f>
        <v>AB_9500</v>
      </c>
      <c r="B1457" s="19" t="str">
        <f>IFERROR(__xludf.DUMMYFUNCTION("""COMPUTED_VALUE"""),"AB_9500_A")</f>
        <v>AB_9500_A</v>
      </c>
      <c r="C1457" s="19" t="str">
        <f>IFERROR(__xludf.DUMMYFUNCTION("""COMPUTED_VALUE"""),"AN9500")</f>
        <v>AN9500</v>
      </c>
      <c r="D1457" s="19" t="str">
        <f>IFERROR(__xludf.DUMMYFUNCTION("""COMPUTED_VALUE"""),"Ruta 24 Desvio Chung Chung")</f>
        <v>Ruta 24 Desvio Chung Chung</v>
      </c>
      <c r="E1457" s="19" t="str">
        <f>IFERROR(__xludf.DUMMYFUNCTION("""COMPUTED_VALUE"""),"SITIO ASIGNADO")</f>
        <v>SITIO ASIGNADO</v>
      </c>
      <c r="F1457" s="19" t="str">
        <f>IFERROR(__xludf.DUMMYFUNCTION("""COMPUTED_VALUE"""),"EXCAVACION")</f>
        <v>EXCAVACION</v>
      </c>
      <c r="G1457" s="19" t="str">
        <f>IFERROR(__xludf.DUMMYFUNCTION("""COMPUTED_VALUE"""),"AS48")</f>
        <v>AS48</v>
      </c>
      <c r="H1457" s="19" t="str">
        <f>IFERROR(__xludf.DUMMYFUNCTION("""COMPUTED_VALUE"""),"METALING")</f>
        <v>METALING</v>
      </c>
      <c r="I1457" s="19" t="str">
        <f>IFERROR(__xludf.DUMMYFUNCTION("""COMPUTED_VALUE"""),"Terminada")</f>
        <v>Terminada</v>
      </c>
      <c r="J1457" s="20">
        <f>IFERROR(__xludf.DUMMYFUNCTION("""COMPUTED_VALUE"""),44876.0)</f>
        <v>44876</v>
      </c>
      <c r="K1457" s="19" t="str">
        <f>IFERROR(__xludf.DUMMYFUNCTION("""COMPUTED_VALUE"""),"Por pintar ")</f>
        <v>Por pintar </v>
      </c>
      <c r="L1457" s="20">
        <f>IFERROR(__xludf.DUMMYFUNCTION("""COMPUTED_VALUE"""),44978.0)</f>
        <v>44978</v>
      </c>
      <c r="M1457" s="19" t="str">
        <f>IFERROR(__xludf.DUMMYFUNCTION("""COMPUTED_VALUE"""),"PP")</f>
        <v>PP</v>
      </c>
      <c r="N1457" s="19" t="str">
        <f>IFERROR(__xludf.DUMMYFUNCTION("""COMPUTED_VALUE"""),"PRIORIDAD 2 Q4 2023 DICIEMBRE")</f>
        <v>PRIORIDAD 2 Q4 2023 DICIEMBRE</v>
      </c>
    </row>
    <row r="1458" ht="15.75" customHeight="1">
      <c r="A1458" s="19" t="str">
        <f>IFERROR(__xludf.DUMMYFUNCTION("""COMPUTED_VALUE"""),"AB_9501")</f>
        <v>AB_9501</v>
      </c>
      <c r="B1458" s="19" t="str">
        <f>IFERROR(__xludf.DUMMYFUNCTION("""COMPUTED_VALUE"""),"AB_9501_A")</f>
        <v>AB_9501_A</v>
      </c>
      <c r="C1458" s="19" t="str">
        <f>IFERROR(__xludf.DUMMYFUNCTION("""COMPUTED_VALUE"""),"AN9501")</f>
        <v>AN9501</v>
      </c>
      <c r="D1458" s="19" t="str">
        <f>IFERROR(__xludf.DUMMYFUNCTION("""COMPUTED_VALUE"""),"Ruta 24 Geoglifos")</f>
        <v>Ruta 24 Geoglifos</v>
      </c>
      <c r="E1458" s="19" t="str">
        <f>IFERROR(__xludf.DUMMYFUNCTION("""COMPUTED_VALUE"""),"SITIO RFI")</f>
        <v>SITIO RFI</v>
      </c>
      <c r="F1458" s="19" t="str">
        <f>IFERROR(__xludf.DUMMYFUNCTION("""COMPUTED_VALUE"""),"RFI")</f>
        <v>RFI</v>
      </c>
      <c r="G1458" s="19" t="str">
        <f>IFERROR(__xludf.DUMMYFUNCTION("""COMPUTED_VALUE"""),"AS30")</f>
        <v>AS30</v>
      </c>
      <c r="H1458" s="19" t="str">
        <f>IFERROR(__xludf.DUMMYFUNCTION("""COMPUTED_VALUE"""),"METALING")</f>
        <v>METALING</v>
      </c>
      <c r="I1458" s="19" t="str">
        <f>IFERROR(__xludf.DUMMYFUNCTION("""COMPUTED_VALUE"""),"Entregada")</f>
        <v>Entregada</v>
      </c>
      <c r="J1458" s="20">
        <f>IFERROR(__xludf.DUMMYFUNCTION("""COMPUTED_VALUE"""),44736.0)</f>
        <v>44736</v>
      </c>
      <c r="K1458" s="19" t="str">
        <f>IFERROR(__xludf.DUMMYFUNCTION("""COMPUTED_VALUE"""),"Entregada")</f>
        <v>Entregada</v>
      </c>
      <c r="L1458" s="20">
        <f>IFERROR(__xludf.DUMMYFUNCTION("""COMPUTED_VALUE"""),44743.0)</f>
        <v>44743</v>
      </c>
      <c r="M1458" s="19" t="str">
        <f>IFERROR(__xludf.DUMMYFUNCTION("""COMPUTED_VALUE"""),"PP")</f>
        <v>PP</v>
      </c>
      <c r="N1458" s="19" t="str">
        <f>IFERROR(__xludf.DUMMYFUNCTION("""COMPUTED_VALUE"""),"PRIORIDAD 1 Q3 2023 OCTUBRE")</f>
        <v>PRIORIDAD 1 Q3 2023 OCTUBRE</v>
      </c>
    </row>
    <row r="1459" ht="15.75" customHeight="1">
      <c r="A1459" s="19" t="str">
        <f>IFERROR(__xludf.DUMMYFUNCTION("""COMPUTED_VALUE"""),"AB_9502")</f>
        <v>AB_9502</v>
      </c>
      <c r="B1459" s="19" t="str">
        <f>IFERROR(__xludf.DUMMYFUNCTION("""COMPUTED_VALUE"""),"AB_9502_A")</f>
        <v>AB_9502_A</v>
      </c>
      <c r="C1459" s="19" t="str">
        <f>IFERROR(__xludf.DUMMYFUNCTION("""COMPUTED_VALUE"""),"AN9502")</f>
        <v>AN9502</v>
      </c>
      <c r="D1459" s="19" t="str">
        <f>IFERROR(__xludf.DUMMYFUNCTION("""COMPUTED_VALUE"""),"Estacipon Cerrillos")</f>
        <v>Estacipon Cerrillos</v>
      </c>
      <c r="E1459" s="19" t="str">
        <f>IFERROR(__xludf.DUMMYFUNCTION("""COMPUTED_VALUE"""),"DETENIDO COMPRA ESTRUCTURA")</f>
        <v>DETENIDO COMPRA ESTRUCTURA</v>
      </c>
      <c r="F1459" s="19"/>
      <c r="G1459" s="19" t="str">
        <f>IFERROR(__xludf.DUMMYFUNCTION("""COMPUTED_VALUE"""),"AS60")</f>
        <v>AS60</v>
      </c>
      <c r="H1459" s="19" t="str">
        <f>IFERROR(__xludf.DUMMYFUNCTION("""COMPUTED_VALUE"""),"COMPRAS")</f>
        <v>COMPRAS</v>
      </c>
      <c r="I1459" s="19"/>
      <c r="J1459" s="19"/>
      <c r="K1459" s="19"/>
      <c r="L1459" s="19"/>
      <c r="M1459" s="19" t="str">
        <f>IFERROR(__xludf.DUMMYFUNCTION("""COMPUTED_VALUE"""),"PP")</f>
        <v>PP</v>
      </c>
      <c r="N1459" s="19" t="str">
        <f>IFERROR(__xludf.DUMMYFUNCTION("""COMPUTED_VALUE"""),"PRIORIDAD 2 Q4 2023 DICIEMBRE")</f>
        <v>PRIORIDAD 2 Q4 2023 DICIEMBRE</v>
      </c>
    </row>
    <row r="1460" ht="15.75" customHeight="1">
      <c r="A1460" s="19" t="str">
        <f>IFERROR(__xludf.DUMMYFUNCTION("""COMPUTED_VALUE"""),"AB_9503")</f>
        <v>AB_9503</v>
      </c>
      <c r="B1460" s="19" t="str">
        <f>IFERROR(__xludf.DUMMYFUNCTION("""COMPUTED_VALUE"""),"AB_9503_A")</f>
        <v>AB_9503_A</v>
      </c>
      <c r="C1460" s="19" t="str">
        <f>IFERROR(__xludf.DUMMYFUNCTION("""COMPUTED_VALUE"""),"AN9503")</f>
        <v>AN9503</v>
      </c>
      <c r="D1460" s="19" t="str">
        <f>IFERROR(__xludf.DUMMYFUNCTION("""COMPUTED_VALUE"""),"Acceso Sur Minera Hales")</f>
        <v>Acceso Sur Minera Hales</v>
      </c>
      <c r="E1460" s="19" t="str">
        <f>IFERROR(__xludf.DUMMYFUNCTION("""COMPUTED_VALUE"""),"SITIO ASIGNADO")</f>
        <v>SITIO ASIGNADO</v>
      </c>
      <c r="F1460" s="19"/>
      <c r="G1460" s="19" t="str">
        <f>IFERROR(__xludf.DUMMYFUNCTION("""COMPUTED_VALUE"""),"CV30")</f>
        <v>CV30</v>
      </c>
      <c r="H1460" s="19" t="str">
        <f>IFERROR(__xludf.DUMMYFUNCTION("""COMPUTED_VALUE"""),"MER")</f>
        <v>MER</v>
      </c>
      <c r="I1460" s="19" t="str">
        <f>IFERROR(__xludf.DUMMYFUNCTION("""COMPUTED_VALUE"""),"Terminada")</f>
        <v>Terminada</v>
      </c>
      <c r="J1460" s="20">
        <f>IFERROR(__xludf.DUMMYFUNCTION("""COMPUTED_VALUE"""),45051.0)</f>
        <v>45051</v>
      </c>
      <c r="K1460" s="19" t="str">
        <f>IFERROR(__xludf.DUMMYFUNCTION("""COMPUTED_VALUE"""),"Por pintar ")</f>
        <v>Por pintar </v>
      </c>
      <c r="L1460" s="20">
        <f>IFERROR(__xludf.DUMMYFUNCTION("""COMPUTED_VALUE"""),45054.0)</f>
        <v>45054</v>
      </c>
      <c r="M1460" s="19" t="str">
        <f>IFERROR(__xludf.DUMMYFUNCTION("""COMPUTED_VALUE"""),"PP")</f>
        <v>PP</v>
      </c>
      <c r="N1460" s="19" t="str">
        <f>IFERROR(__xludf.DUMMYFUNCTION("""COMPUTED_VALUE"""),"PRIORIDAD 2 Q4 2023 DICIEMBRE")</f>
        <v>PRIORIDAD 2 Q4 2023 DICIEMBRE</v>
      </c>
    </row>
    <row r="1461" ht="15.75" customHeight="1">
      <c r="A1461" s="19" t="str">
        <f>IFERROR(__xludf.DUMMYFUNCTION("""COMPUTED_VALUE"""),"AB_9504")</f>
        <v>AB_9504</v>
      </c>
      <c r="B1461" s="19" t="str">
        <f>IFERROR(__xludf.DUMMYFUNCTION("""COMPUTED_VALUE"""),"AB_9504_A")</f>
        <v>AB_9504_A</v>
      </c>
      <c r="C1461" s="19" t="str">
        <f>IFERROR(__xludf.DUMMYFUNCTION("""COMPUTED_VALUE"""),"AN9504")</f>
        <v>AN9504</v>
      </c>
      <c r="D1461" s="19" t="str">
        <f>IFERROR(__xludf.DUMMYFUNCTION("""COMPUTED_VALUE"""),"Cruce Las Torres")</f>
        <v>Cruce Las Torres</v>
      </c>
      <c r="E1461" s="19" t="str">
        <f>IFERROR(__xludf.DUMMYFUNCTION("""COMPUTED_VALUE"""),"DETENIDO FUERA DE PLAN")</f>
        <v>DETENIDO FUERA DE PLAN</v>
      </c>
      <c r="F1461" s="19"/>
      <c r="G1461" s="19" t="str">
        <f>IFERROR(__xludf.DUMMYFUNCTION("""COMPUTED_VALUE"""),"x")</f>
        <v>x</v>
      </c>
      <c r="H1461" s="19" t="str">
        <f>IFERROR(__xludf.DUMMYFUNCTION("""COMPUTED_VALUE"""),"x")</f>
        <v>x</v>
      </c>
      <c r="I1461" s="19" t="str">
        <f>IFERROR(__xludf.DUMMYFUNCTION("""COMPUTED_VALUE"""),"x")</f>
        <v>x</v>
      </c>
      <c r="J1461" s="20" t="str">
        <f>IFERROR(__xludf.DUMMYFUNCTION("""COMPUTED_VALUE"""),"x")</f>
        <v>x</v>
      </c>
      <c r="K1461" s="19" t="str">
        <f>IFERROR(__xludf.DUMMYFUNCTION("""COMPUTED_VALUE"""),"x")</f>
        <v>x</v>
      </c>
      <c r="L1461" s="20" t="str">
        <f>IFERROR(__xludf.DUMMYFUNCTION("""COMPUTED_VALUE"""),"x")</f>
        <v>x</v>
      </c>
      <c r="M1461" s="19" t="str">
        <f>IFERROR(__xludf.DUMMYFUNCTION("""COMPUTED_VALUE"""),"PP")</f>
        <v>PP</v>
      </c>
      <c r="N1461" s="19" t="str">
        <f>IFERROR(__xludf.DUMMYFUNCTION("""COMPUTED_VALUE"""),"PRIORIDAD 3 Q1 2024 MARZO")</f>
        <v>PRIORIDAD 3 Q1 2024 MARZO</v>
      </c>
    </row>
    <row r="1462" ht="15.75" customHeight="1">
      <c r="A1462" s="19" t="str">
        <f>IFERROR(__xludf.DUMMYFUNCTION("""COMPUTED_VALUE"""),"AB_9505")</f>
        <v>AB_9505</v>
      </c>
      <c r="B1462" s="19" t="str">
        <f>IFERROR(__xludf.DUMMYFUNCTION("""COMPUTED_VALUE"""),"AB_9505_A")</f>
        <v>AB_9505_A</v>
      </c>
      <c r="C1462" s="19" t="str">
        <f>IFERROR(__xludf.DUMMYFUNCTION("""COMPUTED_VALUE"""),"AN9505")</f>
        <v>AN9505</v>
      </c>
      <c r="D1462" s="19" t="str">
        <f>IFERROR(__xludf.DUMMYFUNCTION("""COMPUTED_VALUE"""),"Estacion Teresa")</f>
        <v>Estacion Teresa</v>
      </c>
      <c r="E1462" s="19" t="str">
        <f>IFERROR(__xludf.DUMMYFUNCTION("""COMPUTED_VALUE"""),"SITIO ASIGNADO")</f>
        <v>SITIO ASIGNADO</v>
      </c>
      <c r="F1462" s="19"/>
      <c r="G1462" s="19" t="str">
        <f>IFERROR(__xludf.DUMMYFUNCTION("""COMPUTED_VALUE"""),"AS60")</f>
        <v>AS60</v>
      </c>
      <c r="H1462" s="19" t="str">
        <f>IFERROR(__xludf.DUMMYFUNCTION("""COMPUTED_VALUE"""),"JTI")</f>
        <v>JTI</v>
      </c>
      <c r="I1462" s="19" t="str">
        <f>IFERROR(__xludf.DUMMYFUNCTION("""COMPUTED_VALUE"""),"Terminada")</f>
        <v>Terminada</v>
      </c>
      <c r="J1462" s="20">
        <f>IFERROR(__xludf.DUMMYFUNCTION("""COMPUTED_VALUE"""),44991.0)</f>
        <v>44991</v>
      </c>
      <c r="K1462" s="19" t="str">
        <f>IFERROR(__xludf.DUMMYFUNCTION("""COMPUTED_VALUE"""),"Terminada")</f>
        <v>Terminada</v>
      </c>
      <c r="L1462" s="20">
        <f>IFERROR(__xludf.DUMMYFUNCTION("""COMPUTED_VALUE"""),44991.0)</f>
        <v>44991</v>
      </c>
      <c r="M1462" s="19" t="str">
        <f>IFERROR(__xludf.DUMMYFUNCTION("""COMPUTED_VALUE"""),"PP")</f>
        <v>PP</v>
      </c>
      <c r="N1462" s="19" t="str">
        <f>IFERROR(__xludf.DUMMYFUNCTION("""COMPUTED_VALUE"""),"PRIORIDAD 2 Q4 2023 DICIEMBRE")</f>
        <v>PRIORIDAD 2 Q4 2023 DICIEMBRE</v>
      </c>
    </row>
    <row r="1463" ht="15.75" customHeight="1">
      <c r="A1463" s="19" t="str">
        <f>IFERROR(__xludf.DUMMYFUNCTION("""COMPUTED_VALUE"""),"AB_9506")</f>
        <v>AB_9506</v>
      </c>
      <c r="B1463" s="19" t="str">
        <f>IFERROR(__xludf.DUMMYFUNCTION("""COMPUTED_VALUE"""),"AB_9506_A")</f>
        <v>AB_9506_A</v>
      </c>
      <c r="C1463" s="19" t="str">
        <f>IFERROR(__xludf.DUMMYFUNCTION("""COMPUTED_VALUE"""),"AN9506")</f>
        <v>AN9506</v>
      </c>
      <c r="D1463" s="19" t="str">
        <f>IFERROR(__xludf.DUMMYFUNCTION("""COMPUTED_VALUE"""),"Desvio Oficina Algorta")</f>
        <v>Desvio Oficina Algorta</v>
      </c>
      <c r="E1463" s="19" t="str">
        <f>IFERROR(__xludf.DUMMYFUNCTION("""COMPUTED_VALUE"""),"DETENIDO FUERA DE PLAN")</f>
        <v>DETENIDO FUERA DE PLAN</v>
      </c>
      <c r="F1463" s="19"/>
      <c r="G1463" s="19" t="str">
        <f>IFERROR(__xludf.DUMMYFUNCTION("""COMPUTED_VALUE"""),"AS60")</f>
        <v>AS60</v>
      </c>
      <c r="H1463" s="19" t="str">
        <f>IFERROR(__xludf.DUMMYFUNCTION("""COMPUTED_VALUE"""),"COMPRAS")</f>
        <v>COMPRAS</v>
      </c>
      <c r="I1463" s="19"/>
      <c r="J1463" s="19"/>
      <c r="K1463" s="19"/>
      <c r="L1463" s="19"/>
      <c r="M1463" s="19" t="str">
        <f>IFERROR(__xludf.DUMMYFUNCTION("""COMPUTED_VALUE"""),"PP")</f>
        <v>PP</v>
      </c>
      <c r="N1463" s="19" t="str">
        <f>IFERROR(__xludf.DUMMYFUNCTION("""COMPUTED_VALUE"""),"PRIORIDAD 3 Q1 2024 MARZO")</f>
        <v>PRIORIDAD 3 Q1 2024 MARZO</v>
      </c>
    </row>
    <row r="1464" ht="15.75" customHeight="1">
      <c r="A1464" s="19" t="str">
        <f>IFERROR(__xludf.DUMMYFUNCTION("""COMPUTED_VALUE"""),"AB_9507")</f>
        <v>AB_9507</v>
      </c>
      <c r="B1464" s="19" t="str">
        <f>IFERROR(__xludf.DUMMYFUNCTION("""COMPUTED_VALUE"""),"AB_9507_A")</f>
        <v>AB_9507_A</v>
      </c>
      <c r="C1464" s="19" t="str">
        <f>IFERROR(__xludf.DUMMYFUNCTION("""COMPUTED_VALUE"""),"AN9507")</f>
        <v>AN9507</v>
      </c>
      <c r="D1464" s="19" t="str">
        <f>IFERROR(__xludf.DUMMYFUNCTION("""COMPUTED_VALUE"""),"Cerro Gualga")</f>
        <v>Cerro Gualga</v>
      </c>
      <c r="E1464" s="19" t="str">
        <f>IFERROR(__xludf.DUMMYFUNCTION("""COMPUTED_VALUE"""),"SITIO EN CONSTRUCCION")</f>
        <v>SITIO EN CONSTRUCCION</v>
      </c>
      <c r="F1464" s="19" t="str">
        <f>IFERROR(__xludf.DUMMYFUNCTION("""COMPUTED_VALUE"""),"EXCAVACION")</f>
        <v>EXCAVACION</v>
      </c>
      <c r="G1464" s="19" t="str">
        <f>IFERROR(__xludf.DUMMYFUNCTION("""COMPUTED_VALUE"""),"AS60")</f>
        <v>AS60</v>
      </c>
      <c r="H1464" s="19" t="str">
        <f>IFERROR(__xludf.DUMMYFUNCTION("""COMPUTED_VALUE"""),"JTI")</f>
        <v>JTI</v>
      </c>
      <c r="I1464" s="19" t="str">
        <f>IFERROR(__xludf.DUMMYFUNCTION("""COMPUTED_VALUE"""),"Entregada")</f>
        <v>Entregada</v>
      </c>
      <c r="J1464" s="20">
        <f>IFERROR(__xludf.DUMMYFUNCTION("""COMPUTED_VALUE"""),45034.0)</f>
        <v>45034</v>
      </c>
      <c r="K1464" s="19" t="str">
        <f>IFERROR(__xludf.DUMMYFUNCTION("""COMPUTED_VALUE"""),"Entregada")</f>
        <v>Entregada</v>
      </c>
      <c r="L1464" s="20">
        <f>IFERROR(__xludf.DUMMYFUNCTION("""COMPUTED_VALUE"""),45058.0)</f>
        <v>45058</v>
      </c>
      <c r="M1464" s="19" t="str">
        <f>IFERROR(__xludf.DUMMYFUNCTION("""COMPUTED_VALUE"""),"PP")</f>
        <v>PP</v>
      </c>
      <c r="N1464" s="19" t="str">
        <f>IFERROR(__xludf.DUMMYFUNCTION("""COMPUTED_VALUE"""),"PRIORIDAD 2 Q4 2023 DICIEMBRE")</f>
        <v>PRIORIDAD 2 Q4 2023 DICIEMBRE</v>
      </c>
    </row>
    <row r="1465" ht="15.75" customHeight="1">
      <c r="A1465" s="19" t="str">
        <f>IFERROR(__xludf.DUMMYFUNCTION("""COMPUTED_VALUE"""),"AB_9508")</f>
        <v>AB_9508</v>
      </c>
      <c r="B1465" s="19" t="str">
        <f>IFERROR(__xludf.DUMMYFUNCTION("""COMPUTED_VALUE"""),"AB_9508_A")</f>
        <v>AB_9508_A</v>
      </c>
      <c r="C1465" s="19" t="str">
        <f>IFERROR(__xludf.DUMMYFUNCTION("""COMPUTED_VALUE"""),"AN9508")</f>
        <v>AN9508</v>
      </c>
      <c r="D1465" s="19" t="str">
        <f>IFERROR(__xludf.DUMMYFUNCTION("""COMPUTED_VALUE"""),"Pampa Limon Verde")</f>
        <v>Pampa Limon Verde</v>
      </c>
      <c r="E1465" s="19" t="str">
        <f>IFERROR(__xludf.DUMMYFUNCTION("""COMPUTED_VALUE"""),"DETENIDO FUERA DE PLAN")</f>
        <v>DETENIDO FUERA DE PLAN</v>
      </c>
      <c r="F1465" s="19"/>
      <c r="G1465" s="19" t="str">
        <f>IFERROR(__xludf.DUMMYFUNCTION("""COMPUTED_VALUE"""),"x")</f>
        <v>x</v>
      </c>
      <c r="H1465" s="19" t="str">
        <f>IFERROR(__xludf.DUMMYFUNCTION("""COMPUTED_VALUE"""),"x")</f>
        <v>x</v>
      </c>
      <c r="I1465" s="19" t="str">
        <f>IFERROR(__xludf.DUMMYFUNCTION("""COMPUTED_VALUE"""),"x")</f>
        <v>x</v>
      </c>
      <c r="J1465" s="20" t="str">
        <f>IFERROR(__xludf.DUMMYFUNCTION("""COMPUTED_VALUE"""),"x")</f>
        <v>x</v>
      </c>
      <c r="K1465" s="19" t="str">
        <f>IFERROR(__xludf.DUMMYFUNCTION("""COMPUTED_VALUE"""),"x")</f>
        <v>x</v>
      </c>
      <c r="L1465" s="20" t="str">
        <f>IFERROR(__xludf.DUMMYFUNCTION("""COMPUTED_VALUE"""),"x")</f>
        <v>x</v>
      </c>
      <c r="M1465" s="19" t="str">
        <f>IFERROR(__xludf.DUMMYFUNCTION("""COMPUTED_VALUE"""),"PP")</f>
        <v>PP</v>
      </c>
      <c r="N1465" s="19" t="str">
        <f>IFERROR(__xludf.DUMMYFUNCTION("""COMPUTED_VALUE"""),"PRIORIDAD 2 Q4 2023 DICIEMBRE")</f>
        <v>PRIORIDAD 2 Q4 2023 DICIEMBRE</v>
      </c>
    </row>
    <row r="1466" ht="15.75" customHeight="1">
      <c r="A1466" s="19" t="str">
        <f>IFERROR(__xludf.DUMMYFUNCTION("""COMPUTED_VALUE"""),"AB_9509")</f>
        <v>AB_9509</v>
      </c>
      <c r="B1466" s="19" t="str">
        <f>IFERROR(__xludf.DUMMYFUNCTION("""COMPUTED_VALUE"""),"AB_9509_A")</f>
        <v>AB_9509_A</v>
      </c>
      <c r="C1466" s="19" t="str">
        <f>IFERROR(__xludf.DUMMYFUNCTION("""COMPUTED_VALUE"""),"AN9509")</f>
        <v>AN9509</v>
      </c>
      <c r="D1466" s="19" t="str">
        <f>IFERROR(__xludf.DUMMYFUNCTION("""COMPUTED_VALUE"""),"Tranque Sloman")</f>
        <v>Tranque Sloman</v>
      </c>
      <c r="E1466" s="19" t="str">
        <f>IFERROR(__xludf.DUMMYFUNCTION("""COMPUTED_VALUE"""),"SITIO EN CONSTRUCCION")</f>
        <v>SITIO EN CONSTRUCCION</v>
      </c>
      <c r="F1466" s="19" t="str">
        <f>IFERROR(__xludf.DUMMYFUNCTION("""COMPUTED_VALUE"""),"VISITA")</f>
        <v>VISITA</v>
      </c>
      <c r="G1466" s="19" t="str">
        <f>IFERROR(__xludf.DUMMYFUNCTION("""COMPUTED_VALUE"""),"AS60")</f>
        <v>AS60</v>
      </c>
      <c r="H1466" s="19" t="str">
        <f>IFERROR(__xludf.DUMMYFUNCTION("""COMPUTED_VALUE"""),"JTI")</f>
        <v>JTI</v>
      </c>
      <c r="I1466" s="19" t="str">
        <f>IFERROR(__xludf.DUMMYFUNCTION("""COMPUTED_VALUE"""),"Terminada")</f>
        <v>Terminada</v>
      </c>
      <c r="J1466" s="20">
        <f>IFERROR(__xludf.DUMMYFUNCTION("""COMPUTED_VALUE"""),44991.0)</f>
        <v>44991</v>
      </c>
      <c r="K1466" s="19" t="str">
        <f>IFERROR(__xludf.DUMMYFUNCTION("""COMPUTED_VALUE"""),"Terminada")</f>
        <v>Terminada</v>
      </c>
      <c r="L1466" s="20">
        <f>IFERROR(__xludf.DUMMYFUNCTION("""COMPUTED_VALUE"""),44991.0)</f>
        <v>44991</v>
      </c>
      <c r="M1466" s="19" t="str">
        <f>IFERROR(__xludf.DUMMYFUNCTION("""COMPUTED_VALUE"""),"PP")</f>
        <v>PP</v>
      </c>
      <c r="N1466" s="19" t="str">
        <f>IFERROR(__xludf.DUMMYFUNCTION("""COMPUTED_VALUE"""),"PRIORIDAD 2 Q4 2023 DICIEMBRE")</f>
        <v>PRIORIDAD 2 Q4 2023 DICIEMBRE</v>
      </c>
    </row>
    <row r="1467" ht="15.75" customHeight="1">
      <c r="A1467" s="19" t="str">
        <f>IFERROR(__xludf.DUMMYFUNCTION("""COMPUTED_VALUE"""),"AB_9510")</f>
        <v>AB_9510</v>
      </c>
      <c r="B1467" s="19" t="str">
        <f>IFERROR(__xludf.DUMMYFUNCTION("""COMPUTED_VALUE"""),"AB_9510_A")</f>
        <v>AB_9510_A</v>
      </c>
      <c r="C1467" s="19" t="str">
        <f>IFERROR(__xludf.DUMMYFUNCTION("""COMPUTED_VALUE"""),"AN9510")</f>
        <v>AN9510</v>
      </c>
      <c r="D1467" s="19" t="str">
        <f>IFERROR(__xludf.DUMMYFUNCTION("""COMPUTED_VALUE"""),"Oficina Santa Ana")</f>
        <v>Oficina Santa Ana</v>
      </c>
      <c r="E1467" s="19" t="str">
        <f>IFERROR(__xludf.DUMMYFUNCTION("""COMPUTED_VALUE"""),"SITIO RFC")</f>
        <v>SITIO RFC</v>
      </c>
      <c r="F1467" s="19"/>
      <c r="G1467" s="19" t="str">
        <f>IFERROR(__xludf.DUMMYFUNCTION("""COMPUTED_VALUE"""),"CV30")</f>
        <v>CV30</v>
      </c>
      <c r="H1467" s="19" t="str">
        <f>IFERROR(__xludf.DUMMYFUNCTION("""COMPUTED_VALUE"""),"MER")</f>
        <v>MER</v>
      </c>
      <c r="I1467" s="19" t="str">
        <f>IFERROR(__xludf.DUMMYFUNCTION("""COMPUTED_VALUE"""),"Terminada")</f>
        <v>Terminada</v>
      </c>
      <c r="J1467" s="20">
        <f>IFERROR(__xludf.DUMMYFUNCTION("""COMPUTED_VALUE"""),45051.0)</f>
        <v>45051</v>
      </c>
      <c r="K1467" s="19" t="str">
        <f>IFERROR(__xludf.DUMMYFUNCTION("""COMPUTED_VALUE"""),"Por pintar ")</f>
        <v>Por pintar </v>
      </c>
      <c r="L1467" s="20">
        <f>IFERROR(__xludf.DUMMYFUNCTION("""COMPUTED_VALUE"""),45054.0)</f>
        <v>45054</v>
      </c>
      <c r="M1467" s="19" t="str">
        <f>IFERROR(__xludf.DUMMYFUNCTION("""COMPUTED_VALUE"""),"PP")</f>
        <v>PP</v>
      </c>
      <c r="N1467" s="19" t="str">
        <f>IFERROR(__xludf.DUMMYFUNCTION("""COMPUTED_VALUE"""),"PRIORIDAD 2 Q4 2023 DICIEMBRE")</f>
        <v>PRIORIDAD 2 Q4 2023 DICIEMBRE</v>
      </c>
    </row>
    <row r="1468" ht="15.75" customHeight="1">
      <c r="A1468" s="19" t="str">
        <f>IFERROR(__xludf.DUMMYFUNCTION("""COMPUTED_VALUE"""),"AB_9511")</f>
        <v>AB_9511</v>
      </c>
      <c r="B1468" s="19" t="str">
        <f>IFERROR(__xludf.DUMMYFUNCTION("""COMPUTED_VALUE"""),"AB_9511_B")</f>
        <v>AB_9511_B</v>
      </c>
      <c r="C1468" s="19" t="str">
        <f>IFERROR(__xludf.DUMMYFUNCTION("""COMPUTED_VALUE"""),"AN9511")</f>
        <v>AN9511</v>
      </c>
      <c r="D1468" s="19" t="str">
        <f>IFERROR(__xludf.DUMMYFUNCTION("""COMPUTED_VALUE"""),"Oficina Vergara")</f>
        <v>Oficina Vergara</v>
      </c>
      <c r="E1468" s="19" t="str">
        <f>IFERROR(__xludf.DUMMYFUNCTION("""COMPUTED_VALUE"""),"DETENIDO FUERA DE PLAN")</f>
        <v>DETENIDO FUERA DE PLAN</v>
      </c>
      <c r="F1468" s="19"/>
      <c r="G1468" s="19" t="str">
        <f>IFERROR(__xludf.DUMMYFUNCTION("""COMPUTED_VALUE"""),"x")</f>
        <v>x</v>
      </c>
      <c r="H1468" s="19" t="str">
        <f>IFERROR(__xludf.DUMMYFUNCTION("""COMPUTED_VALUE"""),"x")</f>
        <v>x</v>
      </c>
      <c r="I1468" s="19" t="str">
        <f>IFERROR(__xludf.DUMMYFUNCTION("""COMPUTED_VALUE"""),"x")</f>
        <v>x</v>
      </c>
      <c r="J1468" s="20" t="str">
        <f>IFERROR(__xludf.DUMMYFUNCTION("""COMPUTED_VALUE"""),"x")</f>
        <v>x</v>
      </c>
      <c r="K1468" s="19" t="str">
        <f>IFERROR(__xludf.DUMMYFUNCTION("""COMPUTED_VALUE"""),"x")</f>
        <v>x</v>
      </c>
      <c r="L1468" s="20" t="str">
        <f>IFERROR(__xludf.DUMMYFUNCTION("""COMPUTED_VALUE"""),"x")</f>
        <v>x</v>
      </c>
      <c r="M1468" s="19" t="str">
        <f>IFERROR(__xludf.DUMMYFUNCTION("""COMPUTED_VALUE"""),"PP")</f>
        <v>PP</v>
      </c>
      <c r="N1468" s="19" t="str">
        <f>IFERROR(__xludf.DUMMYFUNCTION("""COMPUTED_VALUE"""),"PRIORIDAD 3 Q1 2024 MARZO")</f>
        <v>PRIORIDAD 3 Q1 2024 MARZO</v>
      </c>
    </row>
    <row r="1469" ht="15.75" customHeight="1">
      <c r="A1469" s="19" t="str">
        <f>IFERROR(__xludf.DUMMYFUNCTION("""COMPUTED_VALUE"""),"AB_9512")</f>
        <v>AB_9512</v>
      </c>
      <c r="B1469" s="19" t="str">
        <f>IFERROR(__xludf.DUMMYFUNCTION("""COMPUTED_VALUE"""),"AB_9512_A")</f>
        <v>AB_9512_A</v>
      </c>
      <c r="C1469" s="19" t="str">
        <f>IFERROR(__xludf.DUMMYFUNCTION("""COMPUTED_VALUE"""),"AN9512")</f>
        <v>AN9512</v>
      </c>
      <c r="D1469" s="19" t="str">
        <f>IFERROR(__xludf.DUMMYFUNCTION("""COMPUTED_VALUE"""),"Oficina Pedro de Valdivia")</f>
        <v>Oficina Pedro de Valdivia</v>
      </c>
      <c r="E1469" s="19" t="str">
        <f>IFERROR(__xludf.DUMMYFUNCTION("""COMPUTED_VALUE"""),"SITIO RFI")</f>
        <v>SITIO RFI</v>
      </c>
      <c r="F1469" s="19" t="str">
        <f>IFERROR(__xludf.DUMMYFUNCTION("""COMPUTED_VALUE"""),"RFI")</f>
        <v>RFI</v>
      </c>
      <c r="G1469" s="19" t="str">
        <f>IFERROR(__xludf.DUMMYFUNCTION("""COMPUTED_VALUE"""),"AS60")</f>
        <v>AS60</v>
      </c>
      <c r="H1469" s="19" t="str">
        <f>IFERROR(__xludf.DUMMYFUNCTION("""COMPUTED_VALUE"""),"JTI")</f>
        <v>JTI</v>
      </c>
      <c r="I1469" s="19" t="str">
        <f>IFERROR(__xludf.DUMMYFUNCTION("""COMPUTED_VALUE"""),"Entregada")</f>
        <v>Entregada</v>
      </c>
      <c r="J1469" s="20">
        <f>IFERROR(__xludf.DUMMYFUNCTION("""COMPUTED_VALUE"""),44991.0)</f>
        <v>44991</v>
      </c>
      <c r="K1469" s="19" t="str">
        <f>IFERROR(__xludf.DUMMYFUNCTION("""COMPUTED_VALUE"""),"Entregada")</f>
        <v>Entregada</v>
      </c>
      <c r="L1469" s="20">
        <f>IFERROR(__xludf.DUMMYFUNCTION("""COMPUTED_VALUE"""),44991.0)</f>
        <v>44991</v>
      </c>
      <c r="M1469" s="19" t="str">
        <f>IFERROR(__xludf.DUMMYFUNCTION("""COMPUTED_VALUE"""),"PP")</f>
        <v>PP</v>
      </c>
      <c r="N1469" s="19" t="str">
        <f>IFERROR(__xludf.DUMMYFUNCTION("""COMPUTED_VALUE"""),"PRIORIDAD 2 Q4 2023 DICIEMBRE")</f>
        <v>PRIORIDAD 2 Q4 2023 DICIEMBRE</v>
      </c>
    </row>
    <row r="1470" ht="15.75" customHeight="1">
      <c r="A1470" s="19" t="str">
        <f>IFERROR(__xludf.DUMMYFUNCTION("""COMPUTED_VALUE"""),"AB_9513")</f>
        <v>AB_9513</v>
      </c>
      <c r="B1470" s="19" t="str">
        <f>IFERROR(__xludf.DUMMYFUNCTION("""COMPUTED_VALUE"""),"AB_9513_A")</f>
        <v>AB_9513_A</v>
      </c>
      <c r="C1470" s="19" t="str">
        <f>IFERROR(__xludf.DUMMYFUNCTION("""COMPUTED_VALUE"""),"AN9513")</f>
        <v>AN9513</v>
      </c>
      <c r="D1470" s="19" t="str">
        <f>IFERROR(__xludf.DUMMYFUNCTION("""COMPUTED_VALUE"""),"Oficina Concepcion")</f>
        <v>Oficina Concepcion</v>
      </c>
      <c r="E1470" s="19" t="str">
        <f>IFERROR(__xludf.DUMMYFUNCTION("""COMPUTED_VALUE"""),"DETENIDO COMPRA ESTRUCTURA")</f>
        <v>DETENIDO COMPRA ESTRUCTURA</v>
      </c>
      <c r="F1470" s="19"/>
      <c r="G1470" s="19" t="str">
        <f>IFERROR(__xludf.DUMMYFUNCTION("""COMPUTED_VALUE"""),"AS48")</f>
        <v>AS48</v>
      </c>
      <c r="H1470" s="19" t="str">
        <f>IFERROR(__xludf.DUMMYFUNCTION("""COMPUTED_VALUE"""),"SYC")</f>
        <v>SYC</v>
      </c>
      <c r="I1470" s="19" t="str">
        <f>IFERROR(__xludf.DUMMYFUNCTION("""COMPUTED_VALUE"""),"En fabricacion")</f>
        <v>En fabricacion</v>
      </c>
      <c r="J1470" s="20">
        <f>IFERROR(__xludf.DUMMYFUNCTION("""COMPUTED_VALUE"""),45156.0)</f>
        <v>45156</v>
      </c>
      <c r="K1470" s="19" t="str">
        <f>IFERROR(__xludf.DUMMYFUNCTION("""COMPUTED_VALUE"""),"Asignada")</f>
        <v>Asignada</v>
      </c>
      <c r="L1470" s="20">
        <f>IFERROR(__xludf.DUMMYFUNCTION("""COMPUTED_VALUE"""),45170.0)</f>
        <v>45170</v>
      </c>
      <c r="M1470" s="19" t="str">
        <f>IFERROR(__xludf.DUMMYFUNCTION("""COMPUTED_VALUE"""),"PP")</f>
        <v>PP</v>
      </c>
      <c r="N1470" s="19" t="str">
        <f>IFERROR(__xludf.DUMMYFUNCTION("""COMPUTED_VALUE"""),"PRIORIDAD 2 Q4 2023 DICIEMBRE")</f>
        <v>PRIORIDAD 2 Q4 2023 DICIEMBRE</v>
      </c>
    </row>
    <row r="1471" ht="15.75" customHeight="1">
      <c r="A1471" s="19" t="str">
        <f>IFERROR(__xludf.DUMMYFUNCTION("""COMPUTED_VALUE"""),"AB_9514")</f>
        <v>AB_9514</v>
      </c>
      <c r="B1471" s="19" t="str">
        <f>IFERROR(__xludf.DUMMYFUNCTION("""COMPUTED_VALUE"""),"AB_9514_A")</f>
        <v>AB_9514_A</v>
      </c>
      <c r="C1471" s="19" t="str">
        <f>IFERROR(__xludf.DUMMYFUNCTION("""COMPUTED_VALUE"""),"AN9514")</f>
        <v>AN9514</v>
      </c>
      <c r="D1471" s="19" t="str">
        <f>IFERROR(__xludf.DUMMYFUNCTION("""COMPUTED_VALUE"""),"Estacion Cuevitas")</f>
        <v>Estacion Cuevitas</v>
      </c>
      <c r="E1471" s="19" t="str">
        <f>IFERROR(__xludf.DUMMYFUNCTION("""COMPUTED_VALUE"""),"DETENIDO FUERA DE PLAN")</f>
        <v>DETENIDO FUERA DE PLAN</v>
      </c>
      <c r="F1471" s="19"/>
      <c r="G1471" s="19" t="str">
        <f>IFERROR(__xludf.DUMMYFUNCTION("""COMPUTED_VALUE"""),"AS42")</f>
        <v>AS42</v>
      </c>
      <c r="H1471" s="19" t="str">
        <f>IFERROR(__xludf.DUMMYFUNCTION("""COMPUTED_VALUE"""),"")</f>
        <v/>
      </c>
      <c r="I1471" s="19" t="str">
        <f>IFERROR(__xludf.DUMMYFUNCTION("""COMPUTED_VALUE"""),"")</f>
        <v/>
      </c>
      <c r="J1471" s="20" t="str">
        <f>IFERROR(__xludf.DUMMYFUNCTION("""COMPUTED_VALUE"""),"")</f>
        <v/>
      </c>
      <c r="K1471" s="19" t="str">
        <f>IFERROR(__xludf.DUMMYFUNCTION("""COMPUTED_VALUE"""),"")</f>
        <v/>
      </c>
      <c r="L1471" s="20" t="str">
        <f>IFERROR(__xludf.DUMMYFUNCTION("""COMPUTED_VALUE"""),"")</f>
        <v/>
      </c>
      <c r="M1471" s="19" t="str">
        <f>IFERROR(__xludf.DUMMYFUNCTION("""COMPUTED_VALUE"""),"PP")</f>
        <v>PP</v>
      </c>
      <c r="N1471" s="19" t="str">
        <f>IFERROR(__xludf.DUMMYFUNCTION("""COMPUTED_VALUE"""),"PRIORIDAD 2 Q4 2023 DICIEMBRE")</f>
        <v>PRIORIDAD 2 Q4 2023 DICIEMBRE</v>
      </c>
    </row>
    <row r="1472" ht="15.75" customHeight="1">
      <c r="A1472" s="19" t="str">
        <f>IFERROR(__xludf.DUMMYFUNCTION("""COMPUTED_VALUE"""),"AB_9515")</f>
        <v>AB_9515</v>
      </c>
      <c r="B1472" s="19" t="str">
        <f>IFERROR(__xludf.DUMMYFUNCTION("""COMPUTED_VALUE"""),"AB_9515_A")</f>
        <v>AB_9515_A</v>
      </c>
      <c r="C1472" s="19" t="str">
        <f>IFERROR(__xludf.DUMMYFUNCTION("""COMPUTED_VALUE"""),"AN9515")</f>
        <v>AN9515</v>
      </c>
      <c r="D1472" s="19" t="str">
        <f>IFERROR(__xludf.DUMMYFUNCTION("""COMPUTED_VALUE"""),"Ruta 5 Gualga Norte")</f>
        <v>Ruta 5 Gualga Norte</v>
      </c>
      <c r="E1472" s="19" t="str">
        <f>IFERROR(__xludf.DUMMYFUNCTION("""COMPUTED_VALUE"""),"SITIO ASIGNADO")</f>
        <v>SITIO ASIGNADO</v>
      </c>
      <c r="F1472" s="19" t="str">
        <f>IFERROR(__xludf.DUMMYFUNCTION("""COMPUTED_VALUE"""),"EXCAVACION")</f>
        <v>EXCAVACION</v>
      </c>
      <c r="G1472" s="19" t="str">
        <f>IFERROR(__xludf.DUMMYFUNCTION("""COMPUTED_VALUE"""),"AS48")</f>
        <v>AS48</v>
      </c>
      <c r="H1472" s="19" t="str">
        <f>IFERROR(__xludf.DUMMYFUNCTION("""COMPUTED_VALUE"""),"METALING")</f>
        <v>METALING</v>
      </c>
      <c r="I1472" s="19" t="str">
        <f>IFERROR(__xludf.DUMMYFUNCTION("""COMPUTED_VALUE"""),"Terminada")</f>
        <v>Terminada</v>
      </c>
      <c r="J1472" s="20">
        <f>IFERROR(__xludf.DUMMYFUNCTION("""COMPUTED_VALUE"""),44883.0)</f>
        <v>44883</v>
      </c>
      <c r="K1472" s="19" t="str">
        <f>IFERROR(__xludf.DUMMYFUNCTION("""COMPUTED_VALUE"""),"Por pintar ")</f>
        <v>Por pintar </v>
      </c>
      <c r="L1472" s="20">
        <f>IFERROR(__xludf.DUMMYFUNCTION("""COMPUTED_VALUE"""),44978.0)</f>
        <v>44978</v>
      </c>
      <c r="M1472" s="19" t="str">
        <f>IFERROR(__xludf.DUMMYFUNCTION("""COMPUTED_VALUE"""),"PP")</f>
        <v>PP</v>
      </c>
      <c r="N1472" s="19" t="str">
        <f>IFERROR(__xludf.DUMMYFUNCTION("""COMPUTED_VALUE"""),"PRIORIDAD 2 Q4 2023 DICIEMBRE")</f>
        <v>PRIORIDAD 2 Q4 2023 DICIEMBRE</v>
      </c>
    </row>
    <row r="1473" ht="15.75" customHeight="1">
      <c r="A1473" s="19" t="str">
        <f>IFERROR(__xludf.DUMMYFUNCTION("""COMPUTED_VALUE"""),"AB_9516")</f>
        <v>AB_9516</v>
      </c>
      <c r="B1473" s="19" t="str">
        <f>IFERROR(__xludf.DUMMYFUNCTION("""COMPUTED_VALUE"""),"AB_9516_B")</f>
        <v>AB_9516_B</v>
      </c>
      <c r="C1473" s="19" t="str">
        <f>IFERROR(__xludf.DUMMYFUNCTION("""COMPUTED_VALUE"""),"AN9516")</f>
        <v>AN9516</v>
      </c>
      <c r="D1473" s="19" t="str">
        <f>IFERROR(__xludf.DUMMYFUNCTION("""COMPUTED_VALUE"""),"Aguas ATF Caracoles")</f>
        <v>Aguas ATF Caracoles</v>
      </c>
      <c r="E1473" s="19" t="str">
        <f>IFERROR(__xludf.DUMMYFUNCTION("""COMPUTED_VALUE"""),"SITIO CONSTRUIDO")</f>
        <v>SITIO CONSTRUIDO</v>
      </c>
      <c r="F1473" s="19"/>
      <c r="G1473" s="19" t="str">
        <f>IFERROR(__xludf.DUMMYFUNCTION("""COMPUTED_VALUE"""),"MP R36")</f>
        <v>MP R36</v>
      </c>
      <c r="H1473" s="19" t="str">
        <f>IFERROR(__xludf.DUMMYFUNCTION("""COMPUTED_VALUE"""),"COMPRAS")</f>
        <v>COMPRAS</v>
      </c>
      <c r="I1473" s="19"/>
      <c r="J1473" s="19"/>
      <c r="K1473" s="19"/>
      <c r="L1473" s="19"/>
      <c r="M1473" s="19" t="str">
        <f>IFERROR(__xludf.DUMMYFUNCTION("""COMPUTED_VALUE"""),"PP")</f>
        <v>PP</v>
      </c>
      <c r="N1473" s="19" t="str">
        <f>IFERROR(__xludf.DUMMYFUNCTION("""COMPUTED_VALUE"""),"PRIORIDAD 3 Q1 2024 MARZO")</f>
        <v>PRIORIDAD 3 Q1 2024 MARZO</v>
      </c>
    </row>
    <row r="1474" ht="15.75" customHeight="1">
      <c r="A1474" s="19" t="str">
        <f>IFERROR(__xludf.DUMMYFUNCTION("""COMPUTED_VALUE"""),"AB_9518")</f>
        <v>AB_9518</v>
      </c>
      <c r="B1474" s="19" t="str">
        <f>IFERROR(__xludf.DUMMYFUNCTION("""COMPUTED_VALUE"""),"AB_9518_C")</f>
        <v>AB_9518_C</v>
      </c>
      <c r="C1474" s="19" t="str">
        <f>IFERROR(__xludf.DUMMYFUNCTION("""COMPUTED_VALUE"""),"AN9518")</f>
        <v>AN9518</v>
      </c>
      <c r="D1474" s="19" t="str">
        <f>IFERROR(__xludf.DUMMYFUNCTION("""COMPUTED_VALUE"""),"Quebrada de Mateo")</f>
        <v>Quebrada de Mateo</v>
      </c>
      <c r="E1474" s="19" t="str">
        <f>IFERROR(__xludf.DUMMYFUNCTION("""COMPUTED_VALUE"""),"SITIO PENDIENTE")</f>
        <v>SITIO PENDIENTE</v>
      </c>
      <c r="F1474" s="19"/>
      <c r="G1474" s="19" t="str">
        <f>IFERROR(__xludf.DUMMYFUNCTION("""COMPUTED_VALUE"""),"CV48")</f>
        <v>CV48</v>
      </c>
      <c r="H1474" s="19" t="str">
        <f>IFERROR(__xludf.DUMMYFUNCTION("""COMPUTED_VALUE"""),"MER")</f>
        <v>MER</v>
      </c>
      <c r="I1474" s="19" t="str">
        <f>IFERROR(__xludf.DUMMYFUNCTION("""COMPUTED_VALUE"""),"Terminada")</f>
        <v>Terminada</v>
      </c>
      <c r="J1474" s="20">
        <f>IFERROR(__xludf.DUMMYFUNCTION("""COMPUTED_VALUE"""),45051.0)</f>
        <v>45051</v>
      </c>
      <c r="K1474" s="19" t="str">
        <f>IFERROR(__xludf.DUMMYFUNCTION("""COMPUTED_VALUE"""),"Por pintar ")</f>
        <v>Por pintar </v>
      </c>
      <c r="L1474" s="20">
        <f>IFERROR(__xludf.DUMMYFUNCTION("""COMPUTED_VALUE"""),45054.0)</f>
        <v>45054</v>
      </c>
      <c r="M1474" s="19" t="str">
        <f>IFERROR(__xludf.DUMMYFUNCTION("""COMPUTED_VALUE"""),"PP")</f>
        <v>PP</v>
      </c>
      <c r="N1474" s="19" t="str">
        <f>IFERROR(__xludf.DUMMYFUNCTION("""COMPUTED_VALUE"""),"PRIORIDAD 2 Q4 2023 DICIEMBRE")</f>
        <v>PRIORIDAD 2 Q4 2023 DICIEMBRE</v>
      </c>
    </row>
    <row r="1475" ht="15.75" customHeight="1">
      <c r="A1475" s="19" t="str">
        <f>IFERROR(__xludf.DUMMYFUNCTION("""COMPUTED_VALUE"""),"AB_9519")</f>
        <v>AB_9519</v>
      </c>
      <c r="B1475" s="19" t="str">
        <f>IFERROR(__xludf.DUMMYFUNCTION("""COMPUTED_VALUE"""),"AB_9519_A")</f>
        <v>AB_9519_A</v>
      </c>
      <c r="C1475" s="19" t="str">
        <f>IFERROR(__xludf.DUMMYFUNCTION("""COMPUTED_VALUE"""),"AN9519")</f>
        <v>AN9519</v>
      </c>
      <c r="D1475" s="19" t="str">
        <f>IFERROR(__xludf.DUMMYFUNCTION("""COMPUTED_VALUE"""),"Mano del Desierto")</f>
        <v>Mano del Desierto</v>
      </c>
      <c r="E1475" s="19" t="str">
        <f>IFERROR(__xludf.DUMMYFUNCTION("""COMPUTED_VALUE"""),"SITIO ASIGNADO")</f>
        <v>SITIO ASIGNADO</v>
      </c>
      <c r="F1475" s="19"/>
      <c r="G1475" s="19" t="str">
        <f>IFERROR(__xludf.DUMMYFUNCTION("""COMPUTED_VALUE"""),"AS60")</f>
        <v>AS60</v>
      </c>
      <c r="H1475" s="19" t="str">
        <f>IFERROR(__xludf.DUMMYFUNCTION("""COMPUTED_VALUE"""),"JTI")</f>
        <v>JTI</v>
      </c>
      <c r="I1475" s="19" t="str">
        <f>IFERROR(__xludf.DUMMYFUNCTION("""COMPUTED_VALUE"""),"Terminada")</f>
        <v>Terminada</v>
      </c>
      <c r="J1475" s="20">
        <f>IFERROR(__xludf.DUMMYFUNCTION("""COMPUTED_VALUE"""),45022.0)</f>
        <v>45022</v>
      </c>
      <c r="K1475" s="19" t="str">
        <f>IFERROR(__xludf.DUMMYFUNCTION("""COMPUTED_VALUE"""),"Por pintar ")</f>
        <v>Por pintar </v>
      </c>
      <c r="L1475" s="20">
        <f>IFERROR(__xludf.DUMMYFUNCTION("""COMPUTED_VALUE"""),45022.0)</f>
        <v>45022</v>
      </c>
      <c r="M1475" s="19" t="str">
        <f>IFERROR(__xludf.DUMMYFUNCTION("""COMPUTED_VALUE"""),"PP")</f>
        <v>PP</v>
      </c>
      <c r="N1475" s="19" t="str">
        <f>IFERROR(__xludf.DUMMYFUNCTION("""COMPUTED_VALUE"""),"PRIORIDAD 2 Q4 2023 DICIEMBRE")</f>
        <v>PRIORIDAD 2 Q4 2023 DICIEMBRE</v>
      </c>
    </row>
    <row r="1476" ht="15.75" customHeight="1">
      <c r="A1476" s="19" t="str">
        <f>IFERROR(__xludf.DUMMYFUNCTION("""COMPUTED_VALUE"""),"AB_9520")</f>
        <v>AB_9520</v>
      </c>
      <c r="B1476" s="19" t="str">
        <f>IFERROR(__xludf.DUMMYFUNCTION("""COMPUTED_VALUE"""),"AB_9520_A")</f>
        <v>AB_9520_A</v>
      </c>
      <c r="C1476" s="19" t="str">
        <f>IFERROR(__xludf.DUMMYFUNCTION("""COMPUTED_VALUE"""),"AN9520")</f>
        <v>AN9520</v>
      </c>
      <c r="D1476" s="19" t="str">
        <f>IFERROR(__xludf.DUMMYFUNCTION("""COMPUTED_VALUE"""),"Oficina Rosario")</f>
        <v>Oficina Rosario</v>
      </c>
      <c r="E1476" s="19" t="str">
        <f>IFERROR(__xludf.DUMMYFUNCTION("""COMPUTED_VALUE"""),"SITIO ASIGNADO")</f>
        <v>SITIO ASIGNADO</v>
      </c>
      <c r="F1476" s="19" t="str">
        <f>IFERROR(__xludf.DUMMYFUNCTION("""COMPUTED_VALUE"""),"EXCAVACION")</f>
        <v>EXCAVACION</v>
      </c>
      <c r="G1476" s="19" t="str">
        <f>IFERROR(__xludf.DUMMYFUNCTION("""COMPUTED_VALUE"""),"AS60")</f>
        <v>AS60</v>
      </c>
      <c r="H1476" s="19" t="str">
        <f>IFERROR(__xludf.DUMMYFUNCTION("""COMPUTED_VALUE"""),"ADM")</f>
        <v>ADM</v>
      </c>
      <c r="I1476" s="19" t="str">
        <f>IFERROR(__xludf.DUMMYFUNCTION("""COMPUTED_VALUE"""),"Entregada")</f>
        <v>Entregada</v>
      </c>
      <c r="J1476" s="20">
        <f>IFERROR(__xludf.DUMMYFUNCTION("""COMPUTED_VALUE"""),44750.0)</f>
        <v>44750</v>
      </c>
      <c r="K1476" s="19" t="str">
        <f>IFERROR(__xludf.DUMMYFUNCTION("""COMPUTED_VALUE"""),"Entregada")</f>
        <v>Entregada</v>
      </c>
      <c r="L1476" s="20">
        <f>IFERROR(__xludf.DUMMYFUNCTION("""COMPUTED_VALUE"""),44890.0)</f>
        <v>44890</v>
      </c>
      <c r="M1476" s="19" t="str">
        <f>IFERROR(__xludf.DUMMYFUNCTION("""COMPUTED_VALUE"""),"PP")</f>
        <v>PP</v>
      </c>
      <c r="N1476" s="19" t="str">
        <f>IFERROR(__xludf.DUMMYFUNCTION("""COMPUTED_VALUE"""),"PRIORIDAD 2 Q4 2023 DICIEMBRE")</f>
        <v>PRIORIDAD 2 Q4 2023 DICIEMBRE</v>
      </c>
    </row>
    <row r="1477" ht="15.75" customHeight="1">
      <c r="A1477" s="19" t="str">
        <f>IFERROR(__xludf.DUMMYFUNCTION("""COMPUTED_VALUE"""),"AB_9521")</f>
        <v>AB_9521</v>
      </c>
      <c r="B1477" s="19" t="str">
        <f>IFERROR(__xludf.DUMMYFUNCTION("""COMPUTED_VALUE"""),"AB_9521_A")</f>
        <v>AB_9521_A</v>
      </c>
      <c r="C1477" s="19" t="str">
        <f>IFERROR(__xludf.DUMMYFUNCTION("""COMPUTED_VALUE"""),"AN9521")</f>
        <v>AN9521</v>
      </c>
      <c r="D1477" s="19" t="str">
        <f>IFERROR(__xludf.DUMMYFUNCTION("""COMPUTED_VALUE"""),"Estacion Lacalle")</f>
        <v>Estacion Lacalle</v>
      </c>
      <c r="E1477" s="19" t="str">
        <f>IFERROR(__xludf.DUMMYFUNCTION("""COMPUTED_VALUE"""),"SITIO ASIGNADO")</f>
        <v>SITIO ASIGNADO</v>
      </c>
      <c r="F1477" s="19" t="str">
        <f>IFERROR(__xludf.DUMMYFUNCTION("""COMPUTED_VALUE"""),"ENFIERRADURA")</f>
        <v>ENFIERRADURA</v>
      </c>
      <c r="G1477" s="19" t="str">
        <f>IFERROR(__xludf.DUMMYFUNCTION("""COMPUTED_VALUE"""),"AS60")</f>
        <v>AS60</v>
      </c>
      <c r="H1477" s="19" t="str">
        <f>IFERROR(__xludf.DUMMYFUNCTION("""COMPUTED_VALUE"""),"MER")</f>
        <v>MER</v>
      </c>
      <c r="I1477" s="19" t="str">
        <f>IFERROR(__xludf.DUMMYFUNCTION("""COMPUTED_VALUE"""),"Terminada")</f>
        <v>Terminada</v>
      </c>
      <c r="J1477" s="20">
        <f>IFERROR(__xludf.DUMMYFUNCTION("""COMPUTED_VALUE"""),44876.0)</f>
        <v>44876</v>
      </c>
      <c r="K1477" s="19" t="str">
        <f>IFERROR(__xludf.DUMMYFUNCTION("""COMPUTED_VALUE"""),"Por pintar ")</f>
        <v>Por pintar </v>
      </c>
      <c r="L1477" s="20">
        <f>IFERROR(__xludf.DUMMYFUNCTION("""COMPUTED_VALUE"""),44897.0)</f>
        <v>44897</v>
      </c>
      <c r="M1477" s="19" t="str">
        <f>IFERROR(__xludf.DUMMYFUNCTION("""COMPUTED_VALUE"""),"PP")</f>
        <v>PP</v>
      </c>
      <c r="N1477" s="19" t="str">
        <f>IFERROR(__xludf.DUMMYFUNCTION("""COMPUTED_VALUE"""),"PRIORIDAD 2 Q4 2023 DICIEMBRE")</f>
        <v>PRIORIDAD 2 Q4 2023 DICIEMBRE</v>
      </c>
    </row>
    <row r="1478" ht="15.75" customHeight="1">
      <c r="A1478" s="19" t="str">
        <f>IFERROR(__xludf.DUMMYFUNCTION("""COMPUTED_VALUE"""),"AB_9522")</f>
        <v>AB_9522</v>
      </c>
      <c r="B1478" s="19" t="str">
        <f>IFERROR(__xludf.DUMMYFUNCTION("""COMPUTED_VALUE"""),"AB_9522_A")</f>
        <v>AB_9522_A</v>
      </c>
      <c r="C1478" s="19" t="str">
        <f>IFERROR(__xludf.DUMMYFUNCTION("""COMPUTED_VALUE"""),"AN9522")</f>
        <v>AN9522</v>
      </c>
      <c r="D1478" s="19" t="str">
        <f>IFERROR(__xludf.DUMMYFUNCTION("""COMPUTED_VALUE"""),"Ruta B-70 Mina La Falsa")</f>
        <v>Ruta B-70 Mina La Falsa</v>
      </c>
      <c r="E1478" s="19" t="str">
        <f>IFERROR(__xludf.DUMMYFUNCTION("""COMPUTED_VALUE"""),"SITIO EN CONSTRUCCION")</f>
        <v>SITIO EN CONSTRUCCION</v>
      </c>
      <c r="F1478" s="19" t="str">
        <f>IFERROR(__xludf.DUMMYFUNCTION("""COMPUTED_VALUE"""),"HORMIGONADO")</f>
        <v>HORMIGONADO</v>
      </c>
      <c r="G1478" s="19" t="str">
        <f>IFERROR(__xludf.DUMMYFUNCTION("""COMPUTED_VALUE"""),"AS60")</f>
        <v>AS60</v>
      </c>
      <c r="H1478" s="19" t="str">
        <f>IFERROR(__xludf.DUMMYFUNCTION("""COMPUTED_VALUE"""),"MER")</f>
        <v>MER</v>
      </c>
      <c r="I1478" s="19" t="str">
        <f>IFERROR(__xludf.DUMMYFUNCTION("""COMPUTED_VALUE"""),"Terminada")</f>
        <v>Terminada</v>
      </c>
      <c r="J1478" s="20">
        <f>IFERROR(__xludf.DUMMYFUNCTION("""COMPUTED_VALUE"""),44876.0)</f>
        <v>44876</v>
      </c>
      <c r="K1478" s="19" t="str">
        <f>IFERROR(__xludf.DUMMYFUNCTION("""COMPUTED_VALUE"""),"Por pintar ")</f>
        <v>Por pintar </v>
      </c>
      <c r="L1478" s="20">
        <f>IFERROR(__xludf.DUMMYFUNCTION("""COMPUTED_VALUE"""),44904.0)</f>
        <v>44904</v>
      </c>
      <c r="M1478" s="19" t="str">
        <f>IFERROR(__xludf.DUMMYFUNCTION("""COMPUTED_VALUE"""),"PP")</f>
        <v>PP</v>
      </c>
      <c r="N1478" s="19" t="str">
        <f>IFERROR(__xludf.DUMMYFUNCTION("""COMPUTED_VALUE"""),"PRIORIDAD 2 Q4 2023 DICIEMBRE")</f>
        <v>PRIORIDAD 2 Q4 2023 DICIEMBRE</v>
      </c>
    </row>
    <row r="1479" ht="15.75" customHeight="1">
      <c r="A1479" s="19" t="str">
        <f>IFERROR(__xludf.DUMMYFUNCTION("""COMPUTED_VALUE"""),"AB_9523")</f>
        <v>AB_9523</v>
      </c>
      <c r="B1479" s="19" t="str">
        <f>IFERROR(__xludf.DUMMYFUNCTION("""COMPUTED_VALUE"""),"AB_9523_A")</f>
        <v>AB_9523_A</v>
      </c>
      <c r="C1479" s="19" t="str">
        <f>IFERROR(__xludf.DUMMYFUNCTION("""COMPUTED_VALUE"""),"AN9523")</f>
        <v>AN9523</v>
      </c>
      <c r="D1479" s="19" t="str">
        <f>IFERROR(__xludf.DUMMYFUNCTION("""COMPUTED_VALUE"""),"Camino Caleta El Cobre")</f>
        <v>Camino Caleta El Cobre</v>
      </c>
      <c r="E1479" s="19" t="str">
        <f>IFERROR(__xludf.DUMMYFUNCTION("""COMPUTED_VALUE"""),"SITIO ASIGNADO")</f>
        <v>SITIO ASIGNADO</v>
      </c>
      <c r="F1479" s="19"/>
      <c r="G1479" s="19" t="str">
        <f>IFERROR(__xludf.DUMMYFUNCTION("""COMPUTED_VALUE"""),"CV48")</f>
        <v>CV48</v>
      </c>
      <c r="H1479" s="19" t="str">
        <f>IFERROR(__xludf.DUMMYFUNCTION("""COMPUTED_VALUE"""),"INCOSERV")</f>
        <v>INCOSERV</v>
      </c>
      <c r="I1479" s="19" t="str">
        <f>IFERROR(__xludf.DUMMYFUNCTION("""COMPUTED_VALUE"""),"Terminada")</f>
        <v>Terminada</v>
      </c>
      <c r="J1479" s="20">
        <f>IFERROR(__xludf.DUMMYFUNCTION("""COMPUTED_VALUE"""),45034.0)</f>
        <v>45034</v>
      </c>
      <c r="K1479" s="19" t="str">
        <f>IFERROR(__xludf.DUMMYFUNCTION("""COMPUTED_VALUE"""),"Por pintar ")</f>
        <v>Por pintar </v>
      </c>
      <c r="L1479" s="20">
        <f>IFERROR(__xludf.DUMMYFUNCTION("""COMPUTED_VALUE"""),45107.0)</f>
        <v>45107</v>
      </c>
      <c r="M1479" s="19" t="str">
        <f>IFERROR(__xludf.DUMMYFUNCTION("""COMPUTED_VALUE"""),"PP")</f>
        <v>PP</v>
      </c>
      <c r="N1479" s="19" t="str">
        <f>IFERROR(__xludf.DUMMYFUNCTION("""COMPUTED_VALUE"""),"PRIORIDAD 2 Q4 2023 DICIEMBRE")</f>
        <v>PRIORIDAD 2 Q4 2023 DICIEMBRE</v>
      </c>
    </row>
    <row r="1480" ht="15.75" customHeight="1">
      <c r="A1480" s="19" t="str">
        <f>IFERROR(__xludf.DUMMYFUNCTION("""COMPUTED_VALUE"""),"AB_9524")</f>
        <v>AB_9524</v>
      </c>
      <c r="B1480" s="19" t="str">
        <f>IFERROR(__xludf.DUMMYFUNCTION("""COMPUTED_VALUE"""),"AB_9524_A")</f>
        <v>AB_9524_A</v>
      </c>
      <c r="C1480" s="19" t="str">
        <f>IFERROR(__xludf.DUMMYFUNCTION("""COMPUTED_VALUE"""),"AN9524")</f>
        <v>AN9524</v>
      </c>
      <c r="D1480" s="19" t="str">
        <f>IFERROR(__xludf.DUMMYFUNCTION("""COMPUTED_VALUE"""),"Ruta B-70 Mina Encalada")</f>
        <v>Ruta B-70 Mina Encalada</v>
      </c>
      <c r="E1480" s="19" t="str">
        <f>IFERROR(__xludf.DUMMYFUNCTION("""COMPUTED_VALUE"""),"SITIO ASIGNADO")</f>
        <v>SITIO ASIGNADO</v>
      </c>
      <c r="F1480" s="19" t="str">
        <f>IFERROR(__xludf.DUMMYFUNCTION("""COMPUTED_VALUE"""),"VISITA")</f>
        <v>VISITA</v>
      </c>
      <c r="G1480" s="19" t="str">
        <f>IFERROR(__xludf.DUMMYFUNCTION("""COMPUTED_VALUE"""),"CV42")</f>
        <v>CV42</v>
      </c>
      <c r="H1480" s="19" t="str">
        <f>IFERROR(__xludf.DUMMYFUNCTION("""COMPUTED_VALUE"""),"INGENIUS")</f>
        <v>INGENIUS</v>
      </c>
      <c r="I1480" s="19" t="str">
        <f>IFERROR(__xludf.DUMMYFUNCTION("""COMPUTED_VALUE"""),"Terminada")</f>
        <v>Terminada</v>
      </c>
      <c r="J1480" s="20">
        <f>IFERROR(__xludf.DUMMYFUNCTION("""COMPUTED_VALUE"""),45042.0)</f>
        <v>45042</v>
      </c>
      <c r="K1480" s="19" t="str">
        <f>IFERROR(__xludf.DUMMYFUNCTION("""COMPUTED_VALUE"""),"En fabricacion")</f>
        <v>En fabricacion</v>
      </c>
      <c r="L1480" s="20">
        <f>IFERROR(__xludf.DUMMYFUNCTION("""COMPUTED_VALUE"""),45121.0)</f>
        <v>45121</v>
      </c>
      <c r="M1480" s="19" t="str">
        <f>IFERROR(__xludf.DUMMYFUNCTION("""COMPUTED_VALUE"""),"PP")</f>
        <v>PP</v>
      </c>
      <c r="N1480" s="19" t="str">
        <f>IFERROR(__xludf.DUMMYFUNCTION("""COMPUTED_VALUE"""),"PRIORIDAD 2 Q4 2023 DICIEMBRE")</f>
        <v>PRIORIDAD 2 Q4 2023 DICIEMBRE</v>
      </c>
    </row>
    <row r="1481" ht="15.75" customHeight="1">
      <c r="A1481" s="19" t="str">
        <f>IFERROR(__xludf.DUMMYFUNCTION("""COMPUTED_VALUE"""),"AB_9525")</f>
        <v>AB_9525</v>
      </c>
      <c r="B1481" s="19" t="str">
        <f>IFERROR(__xludf.DUMMYFUNCTION("""COMPUTED_VALUE"""),"AB_9525_C")</f>
        <v>AB_9525_C</v>
      </c>
      <c r="C1481" s="19" t="str">
        <f>IFERROR(__xludf.DUMMYFUNCTION("""COMPUTED_VALUE"""),"AN9525")</f>
        <v>AN9525</v>
      </c>
      <c r="D1481" s="19" t="str">
        <f>IFERROR(__xludf.DUMMYFUNCTION("""COMPUTED_VALUE"""),"Ruta 5 Norte Tetillas")</f>
        <v>Ruta 5 Norte Tetillas</v>
      </c>
      <c r="E1481" s="19" t="str">
        <f>IFERROR(__xludf.DUMMYFUNCTION("""COMPUTED_VALUE"""),"SITIO EN CONSTRUCCION")</f>
        <v>SITIO EN CONSTRUCCION</v>
      </c>
      <c r="F1481" s="19" t="str">
        <f>IFERROR(__xludf.DUMMYFUNCTION("""COMPUTED_VALUE"""),"EMPLANTILLADO")</f>
        <v>EMPLANTILLADO</v>
      </c>
      <c r="G1481" s="19" t="str">
        <f>IFERROR(__xludf.DUMMYFUNCTION("""COMPUTED_VALUE"""),"AS48")</f>
        <v>AS48</v>
      </c>
      <c r="H1481" s="19" t="str">
        <f>IFERROR(__xludf.DUMMYFUNCTION("""COMPUTED_VALUE"""),"METALING")</f>
        <v>METALING</v>
      </c>
      <c r="I1481" s="19" t="str">
        <f>IFERROR(__xludf.DUMMYFUNCTION("""COMPUTED_VALUE"""),"Terminada")</f>
        <v>Terminada</v>
      </c>
      <c r="J1481" s="20">
        <f>IFERROR(__xludf.DUMMYFUNCTION("""COMPUTED_VALUE"""),44876.0)</f>
        <v>44876</v>
      </c>
      <c r="K1481" s="19" t="str">
        <f>IFERROR(__xludf.DUMMYFUNCTION("""COMPUTED_VALUE"""),"Por pintar ")</f>
        <v>Por pintar </v>
      </c>
      <c r="L1481" s="20">
        <f>IFERROR(__xludf.DUMMYFUNCTION("""COMPUTED_VALUE"""),44978.0)</f>
        <v>44978</v>
      </c>
      <c r="M1481" s="19" t="str">
        <f>IFERROR(__xludf.DUMMYFUNCTION("""COMPUTED_VALUE"""),"PP")</f>
        <v>PP</v>
      </c>
      <c r="N1481" s="19" t="str">
        <f>IFERROR(__xludf.DUMMYFUNCTION("""COMPUTED_VALUE"""),"PRIORIDAD 2 Q4 2023 DICIEMBRE")</f>
        <v>PRIORIDAD 2 Q4 2023 DICIEMBRE</v>
      </c>
    </row>
    <row r="1482" ht="15.75" customHeight="1">
      <c r="A1482" s="19" t="str">
        <f>IFERROR(__xludf.DUMMYFUNCTION("""COMPUTED_VALUE"""),"AB_9526")</f>
        <v>AB_9526</v>
      </c>
      <c r="B1482" s="19" t="str">
        <f>IFERROR(__xludf.DUMMYFUNCTION("""COMPUTED_VALUE"""),"AB_9526_A")</f>
        <v>AB_9526_A</v>
      </c>
      <c r="C1482" s="19" t="str">
        <f>IFERROR(__xludf.DUMMYFUNCTION("""COMPUTED_VALUE"""),"AN9526")</f>
        <v>AN9526</v>
      </c>
      <c r="D1482" s="19" t="str">
        <f>IFERROR(__xludf.DUMMYFUNCTION("""COMPUTED_VALUE"""),"Cruce B-70 con B-710")</f>
        <v>Cruce B-70 con B-710</v>
      </c>
      <c r="E1482" s="19" t="str">
        <f>IFERROR(__xludf.DUMMYFUNCTION("""COMPUTED_VALUE"""),"SITIO EN CONSTRUCCION")</f>
        <v>SITIO EN CONSTRUCCION</v>
      </c>
      <c r="F1482" s="19" t="str">
        <f>IFERROR(__xludf.DUMMYFUNCTION("""COMPUTED_VALUE"""),"EXCAVACION")</f>
        <v>EXCAVACION</v>
      </c>
      <c r="G1482" s="19" t="str">
        <f>IFERROR(__xludf.DUMMYFUNCTION("""COMPUTED_VALUE"""),"AS60")</f>
        <v>AS60</v>
      </c>
      <c r="H1482" s="19" t="str">
        <f>IFERROR(__xludf.DUMMYFUNCTION("""COMPUTED_VALUE"""),"MER")</f>
        <v>MER</v>
      </c>
      <c r="I1482" s="19" t="str">
        <f>IFERROR(__xludf.DUMMYFUNCTION("""COMPUTED_VALUE"""),"Terminada")</f>
        <v>Terminada</v>
      </c>
      <c r="J1482" s="20">
        <f>IFERROR(__xludf.DUMMYFUNCTION("""COMPUTED_VALUE"""),44876.0)</f>
        <v>44876</v>
      </c>
      <c r="K1482" s="19" t="str">
        <f>IFERROR(__xludf.DUMMYFUNCTION("""COMPUTED_VALUE"""),"Por pintar ")</f>
        <v>Por pintar </v>
      </c>
      <c r="L1482" s="20">
        <f>IFERROR(__xludf.DUMMYFUNCTION("""COMPUTED_VALUE"""),44897.0)</f>
        <v>44897</v>
      </c>
      <c r="M1482" s="19" t="str">
        <f>IFERROR(__xludf.DUMMYFUNCTION("""COMPUTED_VALUE"""),"PP")</f>
        <v>PP</v>
      </c>
      <c r="N1482" s="19" t="str">
        <f>IFERROR(__xludf.DUMMYFUNCTION("""COMPUTED_VALUE"""),"PRIORIDAD 2 Q4 2023 DICIEMBRE")</f>
        <v>PRIORIDAD 2 Q4 2023 DICIEMBRE</v>
      </c>
    </row>
    <row r="1483" ht="15.75" customHeight="1">
      <c r="A1483" s="19" t="str">
        <f>IFERROR(__xludf.DUMMYFUNCTION("""COMPUTED_VALUE"""),"AB_9527")</f>
        <v>AB_9527</v>
      </c>
      <c r="B1483" s="19" t="str">
        <f>IFERROR(__xludf.DUMMYFUNCTION("""COMPUTED_VALUE"""),"AB_9527_A")</f>
        <v>AB_9527_A</v>
      </c>
      <c r="C1483" s="19" t="str">
        <f>IFERROR(__xludf.DUMMYFUNCTION("""COMPUTED_VALUE"""),"AN9527")</f>
        <v>AN9527</v>
      </c>
      <c r="D1483" s="19" t="str">
        <f>IFERROR(__xludf.DUMMYFUNCTION("""COMPUTED_VALUE"""),"Ruta B-710 Km 80")</f>
        <v>Ruta B-710 Km 80</v>
      </c>
      <c r="E1483" s="19" t="str">
        <f>IFERROR(__xludf.DUMMYFUNCTION("""COMPUTED_VALUE"""),"SITIO PENDIENTE")</f>
        <v>SITIO PENDIENTE</v>
      </c>
      <c r="F1483" s="19"/>
      <c r="G1483" s="19" t="str">
        <f>IFERROR(__xludf.DUMMYFUNCTION("""COMPUTED_VALUE"""),"CV60")</f>
        <v>CV60</v>
      </c>
      <c r="H1483" s="19" t="str">
        <f>IFERROR(__xludf.DUMMYFUNCTION("""COMPUTED_VALUE"""),"")</f>
        <v/>
      </c>
      <c r="I1483" s="19" t="str">
        <f>IFERROR(__xludf.DUMMYFUNCTION("""COMPUTED_VALUE"""),"")</f>
        <v/>
      </c>
      <c r="J1483" s="20" t="str">
        <f>IFERROR(__xludf.DUMMYFUNCTION("""COMPUTED_VALUE"""),"")</f>
        <v/>
      </c>
      <c r="K1483" s="19" t="str">
        <f>IFERROR(__xludf.DUMMYFUNCTION("""COMPUTED_VALUE"""),"")</f>
        <v/>
      </c>
      <c r="L1483" s="20" t="str">
        <f>IFERROR(__xludf.DUMMYFUNCTION("""COMPUTED_VALUE"""),"")</f>
        <v/>
      </c>
      <c r="M1483" s="19" t="str">
        <f>IFERROR(__xludf.DUMMYFUNCTION("""COMPUTED_VALUE"""),"PP")</f>
        <v>PP</v>
      </c>
      <c r="N1483" s="19" t="str">
        <f>IFERROR(__xludf.DUMMYFUNCTION("""COMPUTED_VALUE"""),"PRIORIDAD 3 Q1 2024 MARZO")</f>
        <v>PRIORIDAD 3 Q1 2024 MARZO</v>
      </c>
    </row>
    <row r="1484" ht="15.75" customHeight="1">
      <c r="A1484" s="19" t="str">
        <f>IFERROR(__xludf.DUMMYFUNCTION("""COMPUTED_VALUE"""),"AB_9528")</f>
        <v>AB_9528</v>
      </c>
      <c r="B1484" s="19" t="str">
        <f>IFERROR(__xludf.DUMMYFUNCTION("""COMPUTED_VALUE"""),"AB_9528_B")</f>
        <v>AB_9528_B</v>
      </c>
      <c r="C1484" s="19" t="str">
        <f>IFERROR(__xludf.DUMMYFUNCTION("""COMPUTED_VALUE"""),"AN9528")</f>
        <v>AN9528</v>
      </c>
      <c r="D1484" s="19" t="str">
        <f>IFERROR(__xludf.DUMMYFUNCTION("""COMPUTED_VALUE"""),"Ruta B-710 Ventarrones")</f>
        <v>Ruta B-710 Ventarrones</v>
      </c>
      <c r="E1484" s="19" t="str">
        <f>IFERROR(__xludf.DUMMYFUNCTION("""COMPUTED_VALUE"""),"DETENIDO COMPRA ESTRUCTURA")</f>
        <v>DETENIDO COMPRA ESTRUCTURA</v>
      </c>
      <c r="F1484" s="19"/>
      <c r="G1484" s="19" t="str">
        <f>IFERROR(__xludf.DUMMYFUNCTION("""COMPUTED_VALUE"""),"AS60")</f>
        <v>AS60</v>
      </c>
      <c r="H1484" s="19" t="str">
        <f>IFERROR(__xludf.DUMMYFUNCTION("""COMPUTED_VALUE"""),"COMPRAS")</f>
        <v>COMPRAS</v>
      </c>
      <c r="I1484" s="19"/>
      <c r="J1484" s="19"/>
      <c r="K1484" s="19"/>
      <c r="L1484" s="19"/>
      <c r="M1484" s="19" t="str">
        <f>IFERROR(__xludf.DUMMYFUNCTION("""COMPUTED_VALUE"""),"PP")</f>
        <v>PP</v>
      </c>
      <c r="N1484" s="19" t="str">
        <f>IFERROR(__xludf.DUMMYFUNCTION("""COMPUTED_VALUE"""),"PRIORIDAD 2 Q4 2023 DICIEMBRE")</f>
        <v>PRIORIDAD 2 Q4 2023 DICIEMBRE</v>
      </c>
    </row>
    <row r="1485" ht="15.75" customHeight="1">
      <c r="A1485" s="19" t="str">
        <f>IFERROR(__xludf.DUMMYFUNCTION("""COMPUTED_VALUE"""),"AB_9529")</f>
        <v>AB_9529</v>
      </c>
      <c r="B1485" s="19" t="str">
        <f>IFERROR(__xludf.DUMMYFUNCTION("""COMPUTED_VALUE"""),"AB_9529_B")</f>
        <v>AB_9529_B</v>
      </c>
      <c r="C1485" s="19" t="str">
        <f>IFERROR(__xludf.DUMMYFUNCTION("""COMPUTED_VALUE"""),"AN9529")</f>
        <v>AN9529</v>
      </c>
      <c r="D1485" s="19" t="str">
        <f>IFERROR(__xludf.DUMMYFUNCTION("""COMPUTED_VALUE"""),"Ruta B-710 Of San Pedro")</f>
        <v>Ruta B-710 Of San Pedro</v>
      </c>
      <c r="E1485" s="19" t="str">
        <f>IFERROR(__xludf.DUMMYFUNCTION("""COMPUTED_VALUE"""),"SITIO PENDIENTE")</f>
        <v>SITIO PENDIENTE</v>
      </c>
      <c r="F1485" s="19"/>
      <c r="G1485" s="19" t="str">
        <f>IFERROR(__xludf.DUMMYFUNCTION("""COMPUTED_VALUE"""),"CV60")</f>
        <v>CV60</v>
      </c>
      <c r="H1485" s="19" t="str">
        <f>IFERROR(__xludf.DUMMYFUNCTION("""COMPUTED_VALUE"""),"")</f>
        <v/>
      </c>
      <c r="I1485" s="19" t="str">
        <f>IFERROR(__xludf.DUMMYFUNCTION("""COMPUTED_VALUE"""),"")</f>
        <v/>
      </c>
      <c r="J1485" s="20" t="str">
        <f>IFERROR(__xludf.DUMMYFUNCTION("""COMPUTED_VALUE"""),"")</f>
        <v/>
      </c>
      <c r="K1485" s="19" t="str">
        <f>IFERROR(__xludf.DUMMYFUNCTION("""COMPUTED_VALUE"""),"")</f>
        <v/>
      </c>
      <c r="L1485" s="20" t="str">
        <f>IFERROR(__xludf.DUMMYFUNCTION("""COMPUTED_VALUE"""),"")</f>
        <v/>
      </c>
      <c r="M1485" s="19" t="str">
        <f>IFERROR(__xludf.DUMMYFUNCTION("""COMPUTED_VALUE"""),"PP")</f>
        <v>PP</v>
      </c>
      <c r="N1485" s="19" t="str">
        <f>IFERROR(__xludf.DUMMYFUNCTION("""COMPUTED_VALUE"""),"PRIORIDAD 3 Q1 2024 MARZO")</f>
        <v>PRIORIDAD 3 Q1 2024 MARZO</v>
      </c>
    </row>
    <row r="1486" ht="15.75" customHeight="1">
      <c r="A1486" s="19" t="str">
        <f>IFERROR(__xludf.DUMMYFUNCTION("""COMPUTED_VALUE"""),"AB_9530")</f>
        <v>AB_9530</v>
      </c>
      <c r="B1486" s="19" t="str">
        <f>IFERROR(__xludf.DUMMYFUNCTION("""COMPUTED_VALUE"""),"AB_9530_C")</f>
        <v>AB_9530_C</v>
      </c>
      <c r="C1486" s="19" t="str">
        <f>IFERROR(__xludf.DUMMYFUNCTION("""COMPUTED_VALUE"""),"AN9530")</f>
        <v>AN9530</v>
      </c>
      <c r="D1486" s="19" t="str">
        <f>IFERROR(__xludf.DUMMYFUNCTION("""COMPUTED_VALUE"""),"Ruta B-710 La Fortuna")</f>
        <v>Ruta B-710 La Fortuna</v>
      </c>
      <c r="E1486" s="19" t="str">
        <f>IFERROR(__xludf.DUMMYFUNCTION("""COMPUTED_VALUE"""),"SITIO PENDIENTE")</f>
        <v>SITIO PENDIENTE</v>
      </c>
      <c r="F1486" s="19"/>
      <c r="G1486" s="19" t="str">
        <f>IFERROR(__xludf.DUMMYFUNCTION("""COMPUTED_VALUE"""),"x")</f>
        <v>x</v>
      </c>
      <c r="H1486" s="19" t="str">
        <f>IFERROR(__xludf.DUMMYFUNCTION("""COMPUTED_VALUE"""),"x")</f>
        <v>x</v>
      </c>
      <c r="I1486" s="19" t="str">
        <f>IFERROR(__xludf.DUMMYFUNCTION("""COMPUTED_VALUE"""),"x")</f>
        <v>x</v>
      </c>
      <c r="J1486" s="20" t="str">
        <f>IFERROR(__xludf.DUMMYFUNCTION("""COMPUTED_VALUE"""),"x")</f>
        <v>x</v>
      </c>
      <c r="K1486" s="19" t="str">
        <f>IFERROR(__xludf.DUMMYFUNCTION("""COMPUTED_VALUE"""),"x")</f>
        <v>x</v>
      </c>
      <c r="L1486" s="20" t="str">
        <f>IFERROR(__xludf.DUMMYFUNCTION("""COMPUTED_VALUE"""),"x")</f>
        <v>x</v>
      </c>
      <c r="M1486" s="19" t="str">
        <f>IFERROR(__xludf.DUMMYFUNCTION("""COMPUTED_VALUE"""),"PP")</f>
        <v>PP</v>
      </c>
      <c r="N1486" s="19" t="str">
        <f>IFERROR(__xludf.DUMMYFUNCTION("""COMPUTED_VALUE"""),"PRIORIDAD 3 Q1 2024 MARZO")</f>
        <v>PRIORIDAD 3 Q1 2024 MARZO</v>
      </c>
    </row>
    <row r="1487" ht="15.75" customHeight="1">
      <c r="A1487" s="19" t="str">
        <f>IFERROR(__xludf.DUMMYFUNCTION("""COMPUTED_VALUE"""),"AB_9531")</f>
        <v>AB_9531</v>
      </c>
      <c r="B1487" s="19" t="str">
        <f>IFERROR(__xludf.DUMMYFUNCTION("""COMPUTED_VALUE"""),"AB_9531_B")</f>
        <v>AB_9531_B</v>
      </c>
      <c r="C1487" s="19" t="str">
        <f>IFERROR(__xludf.DUMMYFUNCTION("""COMPUTED_VALUE"""),"AN9531")</f>
        <v>AN9531</v>
      </c>
      <c r="D1487" s="19" t="str">
        <f>IFERROR(__xludf.DUMMYFUNCTION("""COMPUTED_VALUE"""),"Ruta B-710 Paranal")</f>
        <v>Ruta B-710 Paranal</v>
      </c>
      <c r="E1487" s="19" t="str">
        <f>IFERROR(__xludf.DUMMYFUNCTION("""COMPUTED_VALUE"""),"SITIO EN CONSTRUCCION")</f>
        <v>SITIO EN CONSTRUCCION</v>
      </c>
      <c r="F1487" s="19" t="str">
        <f>IFERROR(__xludf.DUMMYFUNCTION("""COMPUTED_VALUE"""),"EXCAVACION")</f>
        <v>EXCAVACION</v>
      </c>
      <c r="G1487" s="19" t="str">
        <f>IFERROR(__xludf.DUMMYFUNCTION("""COMPUTED_VALUE"""),"CV60")</f>
        <v>CV60</v>
      </c>
      <c r="H1487" s="19" t="str">
        <f>IFERROR(__xludf.DUMMYFUNCTION("""COMPUTED_VALUE"""),"DEPROMET")</f>
        <v>DEPROMET</v>
      </c>
      <c r="I1487" s="19" t="str">
        <f>IFERROR(__xludf.DUMMYFUNCTION("""COMPUTED_VALUE"""),"Terminada")</f>
        <v>Terminada</v>
      </c>
      <c r="J1487" s="20">
        <f>IFERROR(__xludf.DUMMYFUNCTION("""COMPUTED_VALUE"""),45001.0)</f>
        <v>45001</v>
      </c>
      <c r="K1487" s="19" t="str">
        <f>IFERROR(__xludf.DUMMYFUNCTION("""COMPUTED_VALUE"""),"Terminada")</f>
        <v>Terminada</v>
      </c>
      <c r="L1487" s="20">
        <f>IFERROR(__xludf.DUMMYFUNCTION("""COMPUTED_VALUE"""),45001.0)</f>
        <v>45001</v>
      </c>
      <c r="M1487" s="19" t="str">
        <f>IFERROR(__xludf.DUMMYFUNCTION("""COMPUTED_VALUE"""),"PP")</f>
        <v>PP</v>
      </c>
      <c r="N1487" s="19" t="str">
        <f>IFERROR(__xludf.DUMMYFUNCTION("""COMPUTED_VALUE"""),"PRIORIDAD 1 Q3 2023 OCTUBRE")</f>
        <v>PRIORIDAD 1 Q3 2023 OCTUBRE</v>
      </c>
    </row>
    <row r="1488" ht="15.75" customHeight="1">
      <c r="A1488" s="19" t="str">
        <f>IFERROR(__xludf.DUMMYFUNCTION("""COMPUTED_VALUE"""),"AB_9532")</f>
        <v>AB_9532</v>
      </c>
      <c r="B1488" s="19" t="str">
        <f>IFERROR(__xludf.DUMMYFUNCTION("""COMPUTED_VALUE"""),"AB_9532_A")</f>
        <v>AB_9532_A</v>
      </c>
      <c r="C1488" s="19" t="str">
        <f>IFERROR(__xludf.DUMMYFUNCTION("""COMPUTED_VALUE"""),"AN9532")</f>
        <v>AN9532</v>
      </c>
      <c r="D1488" s="19" t="str">
        <f>IFERROR(__xludf.DUMMYFUNCTION("""COMPUTED_VALUE"""),"Ruta B-710 Morrales")</f>
        <v>Ruta B-710 Morrales</v>
      </c>
      <c r="E1488" s="19" t="str">
        <f>IFERROR(__xludf.DUMMYFUNCTION("""COMPUTED_VALUE"""),"SITIO EN CONSTRUCCION")</f>
        <v>SITIO EN CONSTRUCCION</v>
      </c>
      <c r="F1488" s="19" t="str">
        <f>IFERROR(__xludf.DUMMYFUNCTION("""COMPUTED_VALUE"""),"VISITA")</f>
        <v>VISITA</v>
      </c>
      <c r="G1488" s="19" t="str">
        <f>IFERROR(__xludf.DUMMYFUNCTION("""COMPUTED_VALUE"""),"AS60")</f>
        <v>AS60</v>
      </c>
      <c r="H1488" s="19" t="str">
        <f>IFERROR(__xludf.DUMMYFUNCTION("""COMPUTED_VALUE"""),"JTI")</f>
        <v>JTI</v>
      </c>
      <c r="I1488" s="19" t="str">
        <f>IFERROR(__xludf.DUMMYFUNCTION("""COMPUTED_VALUE"""),"Entregada")</f>
        <v>Entregada</v>
      </c>
      <c r="J1488" s="20">
        <f>IFERROR(__xludf.DUMMYFUNCTION("""COMPUTED_VALUE"""),45034.0)</f>
        <v>45034</v>
      </c>
      <c r="K1488" s="19" t="str">
        <f>IFERROR(__xludf.DUMMYFUNCTION("""COMPUTED_VALUE"""),"Entregada")</f>
        <v>Entregada</v>
      </c>
      <c r="L1488" s="20">
        <f>IFERROR(__xludf.DUMMYFUNCTION("""COMPUTED_VALUE"""),45051.0)</f>
        <v>45051</v>
      </c>
      <c r="M1488" s="19" t="str">
        <f>IFERROR(__xludf.DUMMYFUNCTION("""COMPUTED_VALUE"""),"PP")</f>
        <v>PP</v>
      </c>
      <c r="N1488" s="19" t="str">
        <f>IFERROR(__xludf.DUMMYFUNCTION("""COMPUTED_VALUE"""),"PRIORIDAD 3 Q1 2024 MARZO")</f>
        <v>PRIORIDAD 3 Q1 2024 MARZO</v>
      </c>
    </row>
    <row r="1489" ht="15.75" customHeight="1">
      <c r="A1489" s="19" t="str">
        <f>IFERROR(__xludf.DUMMYFUNCTION("""COMPUTED_VALUE"""),"AB_9533")</f>
        <v>AB_9533</v>
      </c>
      <c r="B1489" s="19" t="str">
        <f>IFERROR(__xludf.DUMMYFUNCTION("""COMPUTED_VALUE"""),"AB_9533_A")</f>
        <v>AB_9533_A</v>
      </c>
      <c r="C1489" s="19" t="str">
        <f>IFERROR(__xludf.DUMMYFUNCTION("""COMPUTED_VALUE"""),"AN9533")</f>
        <v>AN9533</v>
      </c>
      <c r="D1489" s="19" t="str">
        <f>IFERROR(__xludf.DUMMYFUNCTION("""COMPUTED_VALUE"""),"Ruta B-710 Cuesta Paposo")</f>
        <v>Ruta B-710 Cuesta Paposo</v>
      </c>
      <c r="E1489" s="19" t="str">
        <f>IFERROR(__xludf.DUMMYFUNCTION("""COMPUTED_VALUE"""),"SITIO PENDIENTE")</f>
        <v>SITIO PENDIENTE</v>
      </c>
      <c r="F1489" s="19"/>
      <c r="G1489" s="19" t="str">
        <f>IFERROR(__xludf.DUMMYFUNCTION("""COMPUTED_VALUE"""),"CV48")</f>
        <v>CV48</v>
      </c>
      <c r="H1489" s="19" t="str">
        <f>IFERROR(__xludf.DUMMYFUNCTION("""COMPUTED_VALUE"""),"")</f>
        <v/>
      </c>
      <c r="I1489" s="19" t="str">
        <f>IFERROR(__xludf.DUMMYFUNCTION("""COMPUTED_VALUE"""),"")</f>
        <v/>
      </c>
      <c r="J1489" s="20" t="str">
        <f>IFERROR(__xludf.DUMMYFUNCTION("""COMPUTED_VALUE"""),"")</f>
        <v/>
      </c>
      <c r="K1489" s="19" t="str">
        <f>IFERROR(__xludf.DUMMYFUNCTION("""COMPUTED_VALUE"""),"")</f>
        <v/>
      </c>
      <c r="L1489" s="20" t="str">
        <f>IFERROR(__xludf.DUMMYFUNCTION("""COMPUTED_VALUE"""),"")</f>
        <v/>
      </c>
      <c r="M1489" s="19" t="str">
        <f>IFERROR(__xludf.DUMMYFUNCTION("""COMPUTED_VALUE"""),"PP")</f>
        <v>PP</v>
      </c>
      <c r="N1489" s="19" t="str">
        <f>IFERROR(__xludf.DUMMYFUNCTION("""COMPUTED_VALUE"""),"PRIORIDAD 3 Q1 2024 MARZO")</f>
        <v>PRIORIDAD 3 Q1 2024 MARZO</v>
      </c>
    </row>
    <row r="1490" ht="15.75" customHeight="1">
      <c r="A1490" s="19" t="str">
        <f>IFERROR(__xludf.DUMMYFUNCTION("""COMPUTED_VALUE"""),"AB_9534")</f>
        <v>AB_9534</v>
      </c>
      <c r="B1490" s="19" t="str">
        <f>IFERROR(__xludf.DUMMYFUNCTION("""COMPUTED_VALUE"""),"AB_9534_A")</f>
        <v>AB_9534_A</v>
      </c>
      <c r="C1490" s="19" t="str">
        <f>IFERROR(__xludf.DUMMYFUNCTION("""COMPUTED_VALUE"""),"AN9534")</f>
        <v>AN9534</v>
      </c>
      <c r="D1490" s="19" t="str">
        <f>IFERROR(__xludf.DUMMYFUNCTION("""COMPUTED_VALUE"""),"Cerro Buenos Aires")</f>
        <v>Cerro Buenos Aires</v>
      </c>
      <c r="E1490" s="19" t="str">
        <f>IFERROR(__xludf.DUMMYFUNCTION("""COMPUTED_VALUE"""),"DETENIDO COMPRA ESTRUCTURA")</f>
        <v>DETENIDO COMPRA ESTRUCTURA</v>
      </c>
      <c r="F1490" s="19"/>
      <c r="G1490" s="19" t="str">
        <f>IFERROR(__xludf.DUMMYFUNCTION("""COMPUTED_VALUE"""),"AS60")</f>
        <v>AS60</v>
      </c>
      <c r="H1490" s="19" t="str">
        <f>IFERROR(__xludf.DUMMYFUNCTION("""COMPUTED_VALUE"""),"COMPRAS")</f>
        <v>COMPRAS</v>
      </c>
      <c r="I1490" s="19"/>
      <c r="J1490" s="19"/>
      <c r="K1490" s="19"/>
      <c r="L1490" s="19"/>
      <c r="M1490" s="19" t="str">
        <f>IFERROR(__xludf.DUMMYFUNCTION("""COMPUTED_VALUE"""),"PP")</f>
        <v>PP</v>
      </c>
      <c r="N1490" s="19" t="str">
        <f>IFERROR(__xludf.DUMMYFUNCTION("""COMPUTED_VALUE"""),"PRIORIDAD 2 Q4 2023 DICIEMBRE")</f>
        <v>PRIORIDAD 2 Q4 2023 DICIEMBRE</v>
      </c>
    </row>
    <row r="1491" ht="15.75" customHeight="1">
      <c r="A1491" s="19" t="str">
        <f>IFERROR(__xludf.DUMMYFUNCTION("""COMPUTED_VALUE"""),"AB_9535")</f>
        <v>AB_9535</v>
      </c>
      <c r="B1491" s="19" t="str">
        <f>IFERROR(__xludf.DUMMYFUNCTION("""COMPUTED_VALUE"""),"AB_9535_B")</f>
        <v>AB_9535_B</v>
      </c>
      <c r="C1491" s="19" t="str">
        <f>IFERROR(__xludf.DUMMYFUNCTION("""COMPUTED_VALUE"""),"AN9535")</f>
        <v>AN9535</v>
      </c>
      <c r="D1491" s="19" t="str">
        <f>IFERROR(__xludf.DUMMYFUNCTION("""COMPUTED_VALUE"""),"Pampa Cachina")</f>
        <v>Pampa Cachina</v>
      </c>
      <c r="E1491" s="19" t="str">
        <f>IFERROR(__xludf.DUMMYFUNCTION("""COMPUTED_VALUE"""),"SITIO EN CONSTRUCCION")</f>
        <v>SITIO EN CONSTRUCCION</v>
      </c>
      <c r="F1491" s="19" t="str">
        <f>IFERROR(__xludf.DUMMYFUNCTION("""COMPUTED_VALUE"""),"EMPLANTILLADO")</f>
        <v>EMPLANTILLADO</v>
      </c>
      <c r="G1491" s="19" t="str">
        <f>IFERROR(__xludf.DUMMYFUNCTION("""COMPUTED_VALUE"""),"AS48")</f>
        <v>AS48</v>
      </c>
      <c r="H1491" s="19" t="str">
        <f>IFERROR(__xludf.DUMMYFUNCTION("""COMPUTED_VALUE"""),"METALING")</f>
        <v>METALING</v>
      </c>
      <c r="I1491" s="19" t="str">
        <f>IFERROR(__xludf.DUMMYFUNCTION("""COMPUTED_VALUE"""),"Terminada")</f>
        <v>Terminada</v>
      </c>
      <c r="J1491" s="20">
        <f>IFERROR(__xludf.DUMMYFUNCTION("""COMPUTED_VALUE"""),44876.0)</f>
        <v>44876</v>
      </c>
      <c r="K1491" s="19" t="str">
        <f>IFERROR(__xludf.DUMMYFUNCTION("""COMPUTED_VALUE"""),"Por pintar ")</f>
        <v>Por pintar </v>
      </c>
      <c r="L1491" s="20">
        <f>IFERROR(__xludf.DUMMYFUNCTION("""COMPUTED_VALUE"""),44978.0)</f>
        <v>44978</v>
      </c>
      <c r="M1491" s="19" t="str">
        <f>IFERROR(__xludf.DUMMYFUNCTION("""COMPUTED_VALUE"""),"PP")</f>
        <v>PP</v>
      </c>
      <c r="N1491" s="19" t="str">
        <f>IFERROR(__xludf.DUMMYFUNCTION("""COMPUTED_VALUE"""),"PRIORIDAD 2 Q4 2023 DICIEMBRE")</f>
        <v>PRIORIDAD 2 Q4 2023 DICIEMBRE</v>
      </c>
    </row>
    <row r="1492" ht="15.75" customHeight="1">
      <c r="A1492" s="19" t="str">
        <f>IFERROR(__xludf.DUMMYFUNCTION("""COMPUTED_VALUE"""),"AB_9537")</f>
        <v>AB_9537</v>
      </c>
      <c r="B1492" s="19" t="str">
        <f>IFERROR(__xludf.DUMMYFUNCTION("""COMPUTED_VALUE"""),"AB_9537_A")</f>
        <v>AB_9537_A</v>
      </c>
      <c r="C1492" s="19" t="str">
        <f>IFERROR(__xludf.DUMMYFUNCTION("""COMPUTED_VALUE"""),"AN9537")</f>
        <v>AN9537</v>
      </c>
      <c r="D1492" s="19" t="str">
        <f>IFERROR(__xludf.DUMMYFUNCTION("""COMPUTED_VALUE"""),"Acceso Mina Julia")</f>
        <v>Acceso Mina Julia</v>
      </c>
      <c r="E1492" s="19" t="str">
        <f>IFERROR(__xludf.DUMMYFUNCTION("""COMPUTED_VALUE"""),"DETENIDO FUERA DE PLAN")</f>
        <v>DETENIDO FUERA DE PLAN</v>
      </c>
      <c r="F1492" s="19"/>
      <c r="G1492" s="19" t="str">
        <f>IFERROR(__xludf.DUMMYFUNCTION("""COMPUTED_VALUE"""),"AS60")</f>
        <v>AS60</v>
      </c>
      <c r="H1492" s="19" t="str">
        <f>IFERROR(__xludf.DUMMYFUNCTION("""COMPUTED_VALUE"""),"ADM")</f>
        <v>ADM</v>
      </c>
      <c r="I1492" s="19" t="str">
        <f>IFERROR(__xludf.DUMMYFUNCTION("""COMPUTED_VALUE"""),"Terminada")</f>
        <v>Terminada</v>
      </c>
      <c r="J1492" s="20">
        <f>IFERROR(__xludf.DUMMYFUNCTION("""COMPUTED_VALUE"""),44750.0)</f>
        <v>44750</v>
      </c>
      <c r="K1492" s="19" t="str">
        <f>IFERROR(__xludf.DUMMYFUNCTION("""COMPUTED_VALUE"""),"Terminada")</f>
        <v>Terminada</v>
      </c>
      <c r="L1492" s="20">
        <f>IFERROR(__xludf.DUMMYFUNCTION("""COMPUTED_VALUE"""),44890.0)</f>
        <v>44890</v>
      </c>
      <c r="M1492" s="19" t="str">
        <f>IFERROR(__xludf.DUMMYFUNCTION("""COMPUTED_VALUE"""),"PP")</f>
        <v>PP</v>
      </c>
      <c r="N1492" s="19" t="str">
        <f>IFERROR(__xludf.DUMMYFUNCTION("""COMPUTED_VALUE"""),"PRIORIDAD 2 Q4 2023 DICIEMBRE")</f>
        <v>PRIORIDAD 2 Q4 2023 DICIEMBRE</v>
      </c>
    </row>
    <row r="1493" ht="15.75" customHeight="1">
      <c r="A1493" s="19" t="str">
        <f>IFERROR(__xludf.DUMMYFUNCTION("""COMPUTED_VALUE"""),"AB_9538")</f>
        <v>AB_9538</v>
      </c>
      <c r="B1493" s="19" t="str">
        <f>IFERROR(__xludf.DUMMYFUNCTION("""COMPUTED_VALUE"""),"AB_9538_A")</f>
        <v>AB_9538_A</v>
      </c>
      <c r="C1493" s="19" t="str">
        <f>IFERROR(__xludf.DUMMYFUNCTION("""COMPUTED_VALUE"""),"AN9538")</f>
        <v>AN9538</v>
      </c>
      <c r="D1493" s="19" t="str">
        <f>IFERROR(__xludf.DUMMYFUNCTION("""COMPUTED_VALUE"""),"Oficina Britania")</f>
        <v>Oficina Britania</v>
      </c>
      <c r="E1493" s="19" t="str">
        <f>IFERROR(__xludf.DUMMYFUNCTION("""COMPUTED_VALUE"""),"DETENIDO FUERA DE PLAN")</f>
        <v>DETENIDO FUERA DE PLAN</v>
      </c>
      <c r="F1493" s="19"/>
      <c r="G1493" s="19" t="str">
        <f>IFERROR(__xludf.DUMMYFUNCTION("""COMPUTED_VALUE"""),"AS60")</f>
        <v>AS60</v>
      </c>
      <c r="H1493" s="19" t="str">
        <f>IFERROR(__xludf.DUMMYFUNCTION("""COMPUTED_VALUE"""),"COMPRAS")</f>
        <v>COMPRAS</v>
      </c>
      <c r="I1493" s="19"/>
      <c r="J1493" s="19"/>
      <c r="K1493" s="19"/>
      <c r="L1493" s="19"/>
      <c r="M1493" s="19" t="str">
        <f>IFERROR(__xludf.DUMMYFUNCTION("""COMPUTED_VALUE"""),"PP")</f>
        <v>PP</v>
      </c>
      <c r="N1493" s="19" t="str">
        <f>IFERROR(__xludf.DUMMYFUNCTION("""COMPUTED_VALUE"""),"PRIORIDAD 2 Q4 2023 DICIEMBRE")</f>
        <v>PRIORIDAD 2 Q4 2023 DICIEMBRE</v>
      </c>
    </row>
    <row r="1494" ht="15.75" customHeight="1">
      <c r="A1494" s="19" t="str">
        <f>IFERROR(__xludf.DUMMYFUNCTION("""COMPUTED_VALUE"""),"AB_9539")</f>
        <v>AB_9539</v>
      </c>
      <c r="B1494" s="19" t="str">
        <f>IFERROR(__xludf.DUMMYFUNCTION("""COMPUTED_VALUE"""),"AB_9539_A")</f>
        <v>AB_9539_A</v>
      </c>
      <c r="C1494" s="19" t="str">
        <f>IFERROR(__xludf.DUMMYFUNCTION("""COMPUTED_VALUE"""),"AN9539")</f>
        <v>AN9539</v>
      </c>
      <c r="D1494" s="19" t="str">
        <f>IFERROR(__xludf.DUMMYFUNCTION("""COMPUTED_VALUE"""),"Ruta 5 Mina Tropezon")</f>
        <v>Ruta 5 Mina Tropezon</v>
      </c>
      <c r="E1494" s="19" t="str">
        <f>IFERROR(__xludf.DUMMYFUNCTION("""COMPUTED_VALUE"""),"DETENIDO COMPRA ESTRUCTURA")</f>
        <v>DETENIDO COMPRA ESTRUCTURA</v>
      </c>
      <c r="F1494" s="19"/>
      <c r="G1494" s="19" t="str">
        <f>IFERROR(__xludf.DUMMYFUNCTION("""COMPUTED_VALUE"""),"AS60")</f>
        <v>AS60</v>
      </c>
      <c r="H1494" s="19" t="str">
        <f>IFERROR(__xludf.DUMMYFUNCTION("""COMPUTED_VALUE"""),"COMPRAS")</f>
        <v>COMPRAS</v>
      </c>
      <c r="I1494" s="19"/>
      <c r="J1494" s="19"/>
      <c r="K1494" s="19"/>
      <c r="L1494" s="19"/>
      <c r="M1494" s="19" t="str">
        <f>IFERROR(__xludf.DUMMYFUNCTION("""COMPUTED_VALUE"""),"PP")</f>
        <v>PP</v>
      </c>
      <c r="N1494" s="19" t="str">
        <f>IFERROR(__xludf.DUMMYFUNCTION("""COMPUTED_VALUE"""),"PRIORIDAD 2 Q4 2023 DICIEMBRE")</f>
        <v>PRIORIDAD 2 Q4 2023 DICIEMBRE</v>
      </c>
    </row>
    <row r="1495" ht="15.75" customHeight="1">
      <c r="A1495" s="19" t="str">
        <f>IFERROR(__xludf.DUMMYFUNCTION("""COMPUTED_VALUE"""),"AB_9540")</f>
        <v>AB_9540</v>
      </c>
      <c r="B1495" s="19" t="str">
        <f>IFERROR(__xludf.DUMMYFUNCTION("""COMPUTED_VALUE"""),"AB_9540_B")</f>
        <v>AB_9540_B</v>
      </c>
      <c r="C1495" s="19" t="str">
        <f>IFERROR(__xludf.DUMMYFUNCTION("""COMPUTED_VALUE"""),"AN9540")</f>
        <v>AN9540</v>
      </c>
      <c r="D1495" s="19" t="str">
        <f>IFERROR(__xludf.DUMMYFUNCTION("""COMPUTED_VALUE"""),"Aerodromo Las Breas")</f>
        <v>Aerodromo Las Breas</v>
      </c>
      <c r="E1495" s="19" t="str">
        <f>IFERROR(__xludf.DUMMYFUNCTION("""COMPUTED_VALUE"""),"SITIO PENDIENTE")</f>
        <v>SITIO PENDIENTE</v>
      </c>
      <c r="F1495" s="19"/>
      <c r="G1495" s="19" t="str">
        <f>IFERROR(__xludf.DUMMYFUNCTION("""COMPUTED_VALUE"""),"x")</f>
        <v>x</v>
      </c>
      <c r="H1495" s="19" t="str">
        <f>IFERROR(__xludf.DUMMYFUNCTION("""COMPUTED_VALUE"""),"x")</f>
        <v>x</v>
      </c>
      <c r="I1495" s="19" t="str">
        <f>IFERROR(__xludf.DUMMYFUNCTION("""COMPUTED_VALUE"""),"x")</f>
        <v>x</v>
      </c>
      <c r="J1495" s="20" t="str">
        <f>IFERROR(__xludf.DUMMYFUNCTION("""COMPUTED_VALUE"""),"x")</f>
        <v>x</v>
      </c>
      <c r="K1495" s="19" t="str">
        <f>IFERROR(__xludf.DUMMYFUNCTION("""COMPUTED_VALUE"""),"x")</f>
        <v>x</v>
      </c>
      <c r="L1495" s="20" t="str">
        <f>IFERROR(__xludf.DUMMYFUNCTION("""COMPUTED_VALUE"""),"x")</f>
        <v>x</v>
      </c>
      <c r="M1495" s="19" t="str">
        <f>IFERROR(__xludf.DUMMYFUNCTION("""COMPUTED_VALUE"""),"PP")</f>
        <v>PP</v>
      </c>
      <c r="N1495" s="19" t="str">
        <f>IFERROR(__xludf.DUMMYFUNCTION("""COMPUTED_VALUE"""),"PRIORIDAD 2 Q4 2023 DICIEMBRE")</f>
        <v>PRIORIDAD 2 Q4 2023 DICIEMBRE</v>
      </c>
    </row>
    <row r="1496" ht="15.75" customHeight="1">
      <c r="A1496" s="19" t="str">
        <f>IFERROR(__xludf.DUMMYFUNCTION("""COMPUTED_VALUE"""),"AB_9541")</f>
        <v>AB_9541</v>
      </c>
      <c r="B1496" s="19" t="str">
        <f>IFERROR(__xludf.DUMMYFUNCTION("""COMPUTED_VALUE"""),"AB_9541_A")</f>
        <v>AB_9541_A</v>
      </c>
      <c r="C1496" s="19" t="str">
        <f>IFERROR(__xludf.DUMMYFUNCTION("""COMPUTED_VALUE"""),"AN9541")</f>
        <v>AN9541</v>
      </c>
      <c r="D1496" s="19" t="str">
        <f>IFERROR(__xludf.DUMMYFUNCTION("""COMPUTED_VALUE"""),"Portezuelo Las Bombas")</f>
        <v>Portezuelo Las Bombas</v>
      </c>
      <c r="E1496" s="19" t="str">
        <f>IFERROR(__xludf.DUMMYFUNCTION("""COMPUTED_VALUE"""),"SITIO EN CONSTRUCCION")</f>
        <v>SITIO EN CONSTRUCCION</v>
      </c>
      <c r="F1496" s="19" t="str">
        <f>IFERROR(__xludf.DUMMYFUNCTION("""COMPUTED_VALUE"""),"ENFIERRADURA")</f>
        <v>ENFIERRADURA</v>
      </c>
      <c r="G1496" s="19" t="str">
        <f>IFERROR(__xludf.DUMMYFUNCTION("""COMPUTED_VALUE"""),"CV36")</f>
        <v>CV36</v>
      </c>
      <c r="H1496" s="19" t="str">
        <f>IFERROR(__xludf.DUMMYFUNCTION("""COMPUTED_VALUE"""),"ADM")</f>
        <v>ADM</v>
      </c>
      <c r="I1496" s="19" t="str">
        <f>IFERROR(__xludf.DUMMYFUNCTION("""COMPUTED_VALUE"""),"Entregada")</f>
        <v>Entregada</v>
      </c>
      <c r="J1496" s="20">
        <f>IFERROR(__xludf.DUMMYFUNCTION("""COMPUTED_VALUE"""),44743.0)</f>
        <v>44743</v>
      </c>
      <c r="K1496" s="19" t="str">
        <f>IFERROR(__xludf.DUMMYFUNCTION("""COMPUTED_VALUE"""),"Terminada")</f>
        <v>Terminada</v>
      </c>
      <c r="L1496" s="20">
        <f>IFERROR(__xludf.DUMMYFUNCTION("""COMPUTED_VALUE"""),44757.0)</f>
        <v>44757</v>
      </c>
      <c r="M1496" s="19" t="str">
        <f>IFERROR(__xludf.DUMMYFUNCTION("""COMPUTED_VALUE"""),"PP")</f>
        <v>PP</v>
      </c>
      <c r="N1496" s="19" t="str">
        <f>IFERROR(__xludf.DUMMYFUNCTION("""COMPUTED_VALUE"""),"PRIORIDAD 1 Q3 2023 OCTUBRE")</f>
        <v>PRIORIDAD 1 Q3 2023 OCTUBRE</v>
      </c>
    </row>
    <row r="1497" ht="15.75" customHeight="1">
      <c r="A1497" s="19" t="str">
        <f>IFERROR(__xludf.DUMMYFUNCTION("""COMPUTED_VALUE"""),"AB_9543")</f>
        <v>AB_9543</v>
      </c>
      <c r="B1497" s="19" t="str">
        <f>IFERROR(__xludf.DUMMYFUNCTION("""COMPUTED_VALUE"""),"AB_9543_A")</f>
        <v>AB_9543_A</v>
      </c>
      <c r="C1497" s="19" t="str">
        <f>IFERROR(__xludf.DUMMYFUNCTION("""COMPUTED_VALUE"""),"AN9543")</f>
        <v>AN9543</v>
      </c>
      <c r="D1497" s="19" t="str">
        <f>IFERROR(__xludf.DUMMYFUNCTION("""COMPUTED_VALUE"""),"Quebrada Cifuncho")</f>
        <v>Quebrada Cifuncho</v>
      </c>
      <c r="E1497" s="19" t="str">
        <f>IFERROR(__xludf.DUMMYFUNCTION("""COMPUTED_VALUE"""),"SITIO RFI")</f>
        <v>SITIO RFI</v>
      </c>
      <c r="F1497" s="19" t="str">
        <f>IFERROR(__xludf.DUMMYFUNCTION("""COMPUTED_VALUE"""),"RFI")</f>
        <v>RFI</v>
      </c>
      <c r="G1497" s="19" t="str">
        <f>IFERROR(__xludf.DUMMYFUNCTION("""COMPUTED_VALUE"""),"AS36")</f>
        <v>AS36</v>
      </c>
      <c r="H1497" s="19" t="str">
        <f>IFERROR(__xludf.DUMMYFUNCTION("""COMPUTED_VALUE"""),"JTI")</f>
        <v>JTI</v>
      </c>
      <c r="I1497" s="19" t="str">
        <f>IFERROR(__xludf.DUMMYFUNCTION("""COMPUTED_VALUE"""),"Entregada")</f>
        <v>Entregada</v>
      </c>
      <c r="J1497" s="20">
        <f>IFERROR(__xludf.DUMMYFUNCTION("""COMPUTED_VALUE"""),45022.0)</f>
        <v>45022</v>
      </c>
      <c r="K1497" s="19" t="str">
        <f>IFERROR(__xludf.DUMMYFUNCTION("""COMPUTED_VALUE"""),"Entregada")</f>
        <v>Entregada</v>
      </c>
      <c r="L1497" s="20">
        <f>IFERROR(__xludf.DUMMYFUNCTION("""COMPUTED_VALUE"""),45022.0)</f>
        <v>45022</v>
      </c>
      <c r="M1497" s="19" t="str">
        <f>IFERROR(__xludf.DUMMYFUNCTION("""COMPUTED_VALUE"""),"PP")</f>
        <v>PP</v>
      </c>
      <c r="N1497" s="19" t="str">
        <f>IFERROR(__xludf.DUMMYFUNCTION("""COMPUTED_VALUE"""),"PRIORIDAD 1 Q3 2023 OCTUBRE")</f>
        <v>PRIORIDAD 1 Q3 2023 OCTUBRE</v>
      </c>
    </row>
    <row r="1498" ht="15.75" customHeight="1">
      <c r="A1498" s="19" t="str">
        <f>IFERROR(__xludf.DUMMYFUNCTION("""COMPUTED_VALUE"""),"AB_9544")</f>
        <v>AB_9544</v>
      </c>
      <c r="B1498" s="19" t="str">
        <f>IFERROR(__xludf.DUMMYFUNCTION("""COMPUTED_VALUE"""),"AB_9544_A")</f>
        <v>AB_9544_A</v>
      </c>
      <c r="C1498" s="19" t="str">
        <f>IFERROR(__xludf.DUMMYFUNCTION("""COMPUTED_VALUE"""),"AN9544")</f>
        <v>AN9544</v>
      </c>
      <c r="D1498" s="19" t="str">
        <f>IFERROR(__xludf.DUMMYFUNCTION("""COMPUTED_VALUE"""),"Quebrada de la Cachina")</f>
        <v>Quebrada de la Cachina</v>
      </c>
      <c r="E1498" s="19" t="str">
        <f>IFERROR(__xludf.DUMMYFUNCTION("""COMPUTED_VALUE"""),"SITIO EN CONSTRUCCION")</f>
        <v>SITIO EN CONSTRUCCION</v>
      </c>
      <c r="F1498" s="19" t="str">
        <f>IFERROR(__xludf.DUMMYFUNCTION("""COMPUTED_VALUE"""),"EXCAVACION")</f>
        <v>EXCAVACION</v>
      </c>
      <c r="G1498" s="19" t="str">
        <f>IFERROR(__xludf.DUMMYFUNCTION("""COMPUTED_VALUE"""),"CV48")</f>
        <v>CV48</v>
      </c>
      <c r="H1498" s="19" t="str">
        <f>IFERROR(__xludf.DUMMYFUNCTION("""COMPUTED_VALUE"""),"MER")</f>
        <v>MER</v>
      </c>
      <c r="I1498" s="19" t="str">
        <f>IFERROR(__xludf.DUMMYFUNCTION("""COMPUTED_VALUE"""),"Entregada")</f>
        <v>Entregada</v>
      </c>
      <c r="J1498" s="20">
        <f>IFERROR(__xludf.DUMMYFUNCTION("""COMPUTED_VALUE"""),45051.0)</f>
        <v>45051</v>
      </c>
      <c r="K1498" s="19" t="str">
        <f>IFERROR(__xludf.DUMMYFUNCTION("""COMPUTED_VALUE"""),"Entregada")</f>
        <v>Entregada</v>
      </c>
      <c r="L1498" s="20">
        <f>IFERROR(__xludf.DUMMYFUNCTION("""COMPUTED_VALUE"""),45054.0)</f>
        <v>45054</v>
      </c>
      <c r="M1498" s="19" t="str">
        <f>IFERROR(__xludf.DUMMYFUNCTION("""COMPUTED_VALUE"""),"PP")</f>
        <v>PP</v>
      </c>
      <c r="N1498" s="19" t="str">
        <f>IFERROR(__xludf.DUMMYFUNCTION("""COMPUTED_VALUE"""),"PRIORIDAD 1 Q3 2023 OCTUBRE")</f>
        <v>PRIORIDAD 1 Q3 2023 OCTUBRE</v>
      </c>
    </row>
    <row r="1499" ht="15.75" customHeight="1">
      <c r="A1499" s="19" t="str">
        <f>IFERROR(__xludf.DUMMYFUNCTION("""COMPUTED_VALUE"""),"AB_9545")</f>
        <v>AB_9545</v>
      </c>
      <c r="B1499" s="19" t="str">
        <f>IFERROR(__xludf.DUMMYFUNCTION("""COMPUTED_VALUE"""),"AB_9545_A")</f>
        <v>AB_9545_A</v>
      </c>
      <c r="C1499" s="19" t="str">
        <f>IFERROR(__xludf.DUMMYFUNCTION("""COMPUTED_VALUE"""),"AN9545")</f>
        <v>AN9545</v>
      </c>
      <c r="D1499" s="19" t="str">
        <f>IFERROR(__xludf.DUMMYFUNCTION("""COMPUTED_VALUE"""),"Quebrada Buena Esperanza")</f>
        <v>Quebrada Buena Esperanza</v>
      </c>
      <c r="E1499" s="19" t="str">
        <f>IFERROR(__xludf.DUMMYFUNCTION("""COMPUTED_VALUE"""),"SITIO RFI")</f>
        <v>SITIO RFI</v>
      </c>
      <c r="F1499" s="19" t="str">
        <f>IFERROR(__xludf.DUMMYFUNCTION("""COMPUTED_VALUE"""),"CIERRE")</f>
        <v>CIERRE</v>
      </c>
      <c r="G1499" s="19" t="str">
        <f>IFERROR(__xludf.DUMMYFUNCTION("""COMPUTED_VALUE"""),"AS48")</f>
        <v>AS48</v>
      </c>
      <c r="H1499" s="19" t="str">
        <f>IFERROR(__xludf.DUMMYFUNCTION("""COMPUTED_VALUE"""),"JTI")</f>
        <v>JTI</v>
      </c>
      <c r="I1499" s="19" t="str">
        <f>IFERROR(__xludf.DUMMYFUNCTION("""COMPUTED_VALUE"""),"Entregada")</f>
        <v>Entregada</v>
      </c>
      <c r="J1499" s="20">
        <f>IFERROR(__xludf.DUMMYFUNCTION("""COMPUTED_VALUE"""),45000.0)</f>
        <v>45000</v>
      </c>
      <c r="K1499" s="19" t="str">
        <f>IFERROR(__xludf.DUMMYFUNCTION("""COMPUTED_VALUE"""),"Entregada")</f>
        <v>Entregada</v>
      </c>
      <c r="L1499" s="20">
        <f>IFERROR(__xludf.DUMMYFUNCTION("""COMPUTED_VALUE"""),45000.0)</f>
        <v>45000</v>
      </c>
      <c r="M1499" s="19" t="str">
        <f>IFERROR(__xludf.DUMMYFUNCTION("""COMPUTED_VALUE"""),"PP")</f>
        <v>PP</v>
      </c>
      <c r="N1499" s="19" t="str">
        <f>IFERROR(__xludf.DUMMYFUNCTION("""COMPUTED_VALUE"""),"PRIORIDAD 2 Q4 2023 DICIEMBRE")</f>
        <v>PRIORIDAD 2 Q4 2023 DICIEMBRE</v>
      </c>
    </row>
    <row r="1500" ht="15.75" customHeight="1">
      <c r="A1500" s="19" t="str">
        <f>IFERROR(__xludf.DUMMYFUNCTION("""COMPUTED_VALUE"""),"AB_9546")</f>
        <v>AB_9546</v>
      </c>
      <c r="B1500" s="19" t="str">
        <f>IFERROR(__xludf.DUMMYFUNCTION("""COMPUTED_VALUE"""),"AB_9546_B")</f>
        <v>AB_9546_B</v>
      </c>
      <c r="C1500" s="19" t="str">
        <f>IFERROR(__xludf.DUMMYFUNCTION("""COMPUTED_VALUE"""),"AN9546")</f>
        <v>AN9546</v>
      </c>
      <c r="D1500" s="19" t="str">
        <f>IFERROR(__xludf.DUMMYFUNCTION("""COMPUTED_VALUE"""),"Mina Yaquie")</f>
        <v>Mina Yaquie</v>
      </c>
      <c r="E1500" s="19" t="str">
        <f>IFERROR(__xludf.DUMMYFUNCTION("""COMPUTED_VALUE"""),"SITIO RFI")</f>
        <v>SITIO RFI</v>
      </c>
      <c r="F1500" s="19" t="str">
        <f>IFERROR(__xludf.DUMMYFUNCTION("""COMPUTED_VALUE"""),"RFI")</f>
        <v>RFI</v>
      </c>
      <c r="G1500" s="19" t="str">
        <f>IFERROR(__xludf.DUMMYFUNCTION("""COMPUTED_VALUE"""),"AS48")</f>
        <v>AS48</v>
      </c>
      <c r="H1500" s="19" t="str">
        <f>IFERROR(__xludf.DUMMYFUNCTION("""COMPUTED_VALUE"""),"JTI")</f>
        <v>JTI</v>
      </c>
      <c r="I1500" s="19" t="str">
        <f>IFERROR(__xludf.DUMMYFUNCTION("""COMPUTED_VALUE"""),"Entregada")</f>
        <v>Entregada</v>
      </c>
      <c r="J1500" s="20">
        <f>IFERROR(__xludf.DUMMYFUNCTION("""COMPUTED_VALUE"""),45034.0)</f>
        <v>45034</v>
      </c>
      <c r="K1500" s="19" t="str">
        <f>IFERROR(__xludf.DUMMYFUNCTION("""COMPUTED_VALUE"""),"Entregada")</f>
        <v>Entregada</v>
      </c>
      <c r="L1500" s="20">
        <f>IFERROR(__xludf.DUMMYFUNCTION("""COMPUTED_VALUE"""),45058.0)</f>
        <v>45058</v>
      </c>
      <c r="M1500" s="19" t="str">
        <f>IFERROR(__xludf.DUMMYFUNCTION("""COMPUTED_VALUE"""),"PP")</f>
        <v>PP</v>
      </c>
      <c r="N1500" s="19" t="str">
        <f>IFERROR(__xludf.DUMMYFUNCTION("""COMPUTED_VALUE"""),"PRIORIDAD 2 Q4 2023 DICIEMBRE")</f>
        <v>PRIORIDAD 2 Q4 2023 DICIEMBRE</v>
      </c>
    </row>
    <row r="1501" ht="15.75" customHeight="1">
      <c r="A1501" s="19" t="str">
        <f>IFERROR(__xludf.DUMMYFUNCTION("""COMPUTED_VALUE"""),"AB_9776")</f>
        <v>AB_9776</v>
      </c>
      <c r="B1501" s="19" t="str">
        <f>IFERROR(__xludf.DUMMYFUNCTION("""COMPUTED_VALUE"""),"AB_9776_A")</f>
        <v>AB_9776_A</v>
      </c>
      <c r="C1501" s="19" t="str">
        <f>IFERROR(__xludf.DUMMYFUNCTION("""COMPUTED_VALUE"""),"AN9776")</f>
        <v>AN9776</v>
      </c>
      <c r="D1501" s="19" t="str">
        <f>IFERROR(__xludf.DUMMYFUNCTION("""COMPUTED_VALUE"""),"Quebrada Peineta")</f>
        <v>Quebrada Peineta</v>
      </c>
      <c r="E1501" s="19" t="str">
        <f>IFERROR(__xludf.DUMMYFUNCTION("""COMPUTED_VALUE"""),"SITIO EN CONSTRUCCION")</f>
        <v>SITIO EN CONSTRUCCION</v>
      </c>
      <c r="F1501" s="19" t="str">
        <f>IFERROR(__xludf.DUMMYFUNCTION("""COMPUTED_VALUE"""),"HORMIGONADO")</f>
        <v>HORMIGONADO</v>
      </c>
      <c r="G1501" s="19" t="str">
        <f>IFERROR(__xludf.DUMMYFUNCTION("""COMPUTED_VALUE"""),"AS48")</f>
        <v>AS48</v>
      </c>
      <c r="H1501" s="19" t="str">
        <f>IFERROR(__xludf.DUMMYFUNCTION("""COMPUTED_VALUE"""),"JTI")</f>
        <v>JTI</v>
      </c>
      <c r="I1501" s="19" t="str">
        <f>IFERROR(__xludf.DUMMYFUNCTION("""COMPUTED_VALUE"""),"Entregada")</f>
        <v>Entregada</v>
      </c>
      <c r="J1501" s="20">
        <f>IFERROR(__xludf.DUMMYFUNCTION("""COMPUTED_VALUE"""),45000.0)</f>
        <v>45000</v>
      </c>
      <c r="K1501" s="19" t="str">
        <f>IFERROR(__xludf.DUMMYFUNCTION("""COMPUTED_VALUE"""),"Entregada")</f>
        <v>Entregada</v>
      </c>
      <c r="L1501" s="20">
        <f>IFERROR(__xludf.DUMMYFUNCTION("""COMPUTED_VALUE"""),45000.0)</f>
        <v>45000</v>
      </c>
      <c r="M1501" s="19" t="str">
        <f>IFERROR(__xludf.DUMMYFUNCTION("""COMPUTED_VALUE"""),"PP")</f>
        <v>PP</v>
      </c>
      <c r="N1501" s="19" t="str">
        <f>IFERROR(__xludf.DUMMYFUNCTION("""COMPUTED_VALUE"""),"PRIORIDAD 2 Q4 2023 DICIEMBRE")</f>
        <v>PRIORIDAD 2 Q4 2023 DICIEMBRE</v>
      </c>
    </row>
    <row r="1502" ht="15.75" customHeight="1">
      <c r="A1502" s="19" t="str">
        <f>IFERROR(__xludf.DUMMYFUNCTION("""COMPUTED_VALUE"""),"AB_9813")</f>
        <v>AB_9813</v>
      </c>
      <c r="B1502" s="19" t="str">
        <f>IFERROR(__xludf.DUMMYFUNCTION("""COMPUTED_VALUE"""),"AB_9813_A")</f>
        <v>AB_9813_A</v>
      </c>
      <c r="C1502" s="19" t="str">
        <f>IFERROR(__xludf.DUMMYFUNCTION("""COMPUTED_VALUE"""),"AN9813")</f>
        <v>AN9813</v>
      </c>
      <c r="D1502" s="19" t="str">
        <f>IFERROR(__xludf.DUMMYFUNCTION("""COMPUTED_VALUE"""),"San Bartolo")</f>
        <v>San Bartolo</v>
      </c>
      <c r="E1502" s="19" t="str">
        <f>IFERROR(__xludf.DUMMYFUNCTION("""COMPUTED_VALUE"""),"EN VALIDACION COMPRAS")</f>
        <v>EN VALIDACION COMPRAS</v>
      </c>
      <c r="F1502" s="19"/>
      <c r="G1502" s="19" t="str">
        <f>IFERROR(__xludf.DUMMYFUNCTION("""COMPUTED_VALUE"""),"CV36")</f>
        <v>CV36</v>
      </c>
      <c r="H1502" s="19" t="str">
        <f>IFERROR(__xludf.DUMMYFUNCTION("""COMPUTED_VALUE"""),"DEITEL")</f>
        <v>DEITEL</v>
      </c>
      <c r="I1502" s="19" t="str">
        <f>IFERROR(__xludf.DUMMYFUNCTION("""COMPUTED_VALUE"""),"Terminada")</f>
        <v>Terminada</v>
      </c>
      <c r="J1502" s="20">
        <f>IFERROR(__xludf.DUMMYFUNCTION("""COMPUTED_VALUE"""),44882.0)</f>
        <v>44882</v>
      </c>
      <c r="K1502" s="19" t="str">
        <f>IFERROR(__xludf.DUMMYFUNCTION("""COMPUTED_VALUE"""),"Terminada")</f>
        <v>Terminada</v>
      </c>
      <c r="L1502" s="20">
        <f>IFERROR(__xludf.DUMMYFUNCTION("""COMPUTED_VALUE"""),44969.0)</f>
        <v>44969</v>
      </c>
      <c r="M1502" s="19" t="str">
        <f>IFERROR(__xludf.DUMMYFUNCTION("""COMPUTED_VALUE"""),"LLOO")</f>
        <v>LLOO</v>
      </c>
      <c r="N1502" s="19" t="str">
        <f>IFERROR(__xludf.DUMMYFUNCTION("""COMPUTED_VALUE"""),"PRIORIDAD 1 Q3 2023 OCTUBRE")</f>
        <v>PRIORIDAD 1 Q3 2023 OCTUBRE</v>
      </c>
    </row>
    <row r="1503" ht="15.75" customHeight="1">
      <c r="A1503" s="19" t="str">
        <f>IFERROR(__xludf.DUMMYFUNCTION("""COMPUTED_VALUE"""),"AB_9821")</f>
        <v>AB_9821</v>
      </c>
      <c r="B1503" s="19" t="str">
        <f>IFERROR(__xludf.DUMMYFUNCTION("""COMPUTED_VALUE"""),"AB_9821_A")</f>
        <v>AB_9821_A</v>
      </c>
      <c r="C1503" s="19" t="str">
        <f>IFERROR(__xludf.DUMMYFUNCTION("""COMPUTED_VALUE"""),"AN9821")</f>
        <v>AN9821</v>
      </c>
      <c r="D1503" s="19" t="str">
        <f>IFERROR(__xludf.DUMMYFUNCTION("""COMPUTED_VALUE"""),"Sierra Esmeralda")</f>
        <v>Sierra Esmeralda</v>
      </c>
      <c r="E1503" s="19" t="str">
        <f>IFERROR(__xludf.DUMMYFUNCTION("""COMPUTED_VALUE"""),"SITIO EN CONSTRUCCION")</f>
        <v>SITIO EN CONSTRUCCION</v>
      </c>
      <c r="F1503" s="19" t="str">
        <f>IFERROR(__xludf.DUMMYFUNCTION("""COMPUTED_VALUE"""),"EXCAVACION")</f>
        <v>EXCAVACION</v>
      </c>
      <c r="G1503" s="19" t="str">
        <f>IFERROR(__xludf.DUMMYFUNCTION("""COMPUTED_VALUE"""),"CV48")</f>
        <v>CV48</v>
      </c>
      <c r="H1503" s="19" t="str">
        <f>IFERROR(__xludf.DUMMYFUNCTION("""COMPUTED_VALUE"""),"JTI")</f>
        <v>JTI</v>
      </c>
      <c r="I1503" s="19" t="str">
        <f>IFERROR(__xludf.DUMMYFUNCTION("""COMPUTED_VALUE"""),"Terminada")</f>
        <v>Terminada</v>
      </c>
      <c r="J1503" s="20">
        <f>IFERROR(__xludf.DUMMYFUNCTION("""COMPUTED_VALUE"""),44893.0)</f>
        <v>44893</v>
      </c>
      <c r="K1503" s="19" t="str">
        <f>IFERROR(__xludf.DUMMYFUNCTION("""COMPUTED_VALUE"""),"Terminada")</f>
        <v>Terminada</v>
      </c>
      <c r="L1503" s="20">
        <f>IFERROR(__xludf.DUMMYFUNCTION("""COMPUTED_VALUE"""),44902.0)</f>
        <v>44902</v>
      </c>
      <c r="M1503" s="19" t="str">
        <f>IFERROR(__xludf.DUMMYFUNCTION("""COMPUTED_VALUE"""),"LLOO")</f>
        <v>LLOO</v>
      </c>
      <c r="N1503" s="19" t="str">
        <f>IFERROR(__xludf.DUMMYFUNCTION("""COMPUTED_VALUE"""),"PRIORIDAD 2 Q4 2023 DICIEMBRE")</f>
        <v>PRIORIDAD 2 Q4 2023 DICIEMBRE</v>
      </c>
    </row>
    <row r="1504" ht="15.75" customHeight="1">
      <c r="A1504" s="19" t="str">
        <f>IFERROR(__xludf.DUMMYFUNCTION("""COMPUTED_VALUE"""),"AB_9997")</f>
        <v>AB_9997</v>
      </c>
      <c r="B1504" s="19" t="str">
        <f>IFERROR(__xludf.DUMMYFUNCTION("""COMPUTED_VALUE"""),"AB_9997_B")</f>
        <v>AB_9997_B</v>
      </c>
      <c r="C1504" s="19" t="str">
        <f>IFERROR(__xludf.DUMMYFUNCTION("""COMPUTED_VALUE"""),"AN9997")</f>
        <v>AN9997</v>
      </c>
      <c r="D1504" s="19" t="str">
        <f>IFERROR(__xludf.DUMMYFUNCTION("""COMPUTED_VALUE"""),"Punta Arenas Antofagasta")</f>
        <v>Punta Arenas Antofagasta</v>
      </c>
      <c r="E1504" s="19" t="str">
        <f>IFERROR(__xludf.DUMMYFUNCTION("""COMPUTED_VALUE"""),"SITIO PENDIENTE")</f>
        <v>SITIO PENDIENTE</v>
      </c>
      <c r="F1504" s="19"/>
      <c r="G1504" s="19" t="str">
        <f>IFERROR(__xludf.DUMMYFUNCTION("""COMPUTED_VALUE"""),"MP R40 ")</f>
        <v>MP R40 </v>
      </c>
      <c r="H1504" s="19" t="str">
        <f>IFERROR(__xludf.DUMMYFUNCTION("""COMPUTED_VALUE"""),"DEITEL")</f>
        <v>DEITEL</v>
      </c>
      <c r="I1504" s="19" t="str">
        <f>IFERROR(__xludf.DUMMYFUNCTION("""COMPUTED_VALUE"""),"Terminada")</f>
        <v>Terminada</v>
      </c>
      <c r="J1504" s="20">
        <f>IFERROR(__xludf.DUMMYFUNCTION("""COMPUTED_VALUE"""),44588.0)</f>
        <v>44588</v>
      </c>
      <c r="K1504" s="19" t="str">
        <f>IFERROR(__xludf.DUMMYFUNCTION("""COMPUTED_VALUE"""),"Por pintar ")</f>
        <v>Por pintar </v>
      </c>
      <c r="L1504" s="20">
        <f>IFERROR(__xludf.DUMMYFUNCTION("""COMPUTED_VALUE"""),45023.0)</f>
        <v>45023</v>
      </c>
      <c r="M1504" s="19" t="str">
        <f>IFERROR(__xludf.DUMMYFUNCTION("""COMPUTED_VALUE"""),"PP")</f>
        <v>PP</v>
      </c>
      <c r="N1504" s="19" t="str">
        <f>IFERROR(__xludf.DUMMYFUNCTION("""COMPUTED_VALUE"""),"PRIORIDAD 2 Q4 2023 DICIEMBRE")</f>
        <v>PRIORIDAD 2 Q4 2023 DICIEMBRE</v>
      </c>
    </row>
    <row r="1505" ht="15.75" customHeight="1">
      <c r="A1505" s="19" t="str">
        <f>IFERROR(__xludf.DUMMYFUNCTION("""COMPUTED_VALUE"""),"AB_9998")</f>
        <v>AB_9998</v>
      </c>
      <c r="B1505" s="19" t="str">
        <f>IFERROR(__xludf.DUMMYFUNCTION("""COMPUTED_VALUE"""),"AB_9998_A")</f>
        <v>AB_9998_A</v>
      </c>
      <c r="C1505" s="19" t="str">
        <f>IFERROR(__xludf.DUMMYFUNCTION("""COMPUTED_VALUE"""),"AN9998")</f>
        <v>AN9998</v>
      </c>
      <c r="D1505" s="19" t="str">
        <f>IFERROR(__xludf.DUMMYFUNCTION("""COMPUTED_VALUE"""),"Cabo Paquica")</f>
        <v>Cabo Paquica</v>
      </c>
      <c r="E1505" s="19" t="str">
        <f>IFERROR(__xludf.DUMMYFUNCTION("""COMPUTED_VALUE"""),"DETENIDO SAC")</f>
        <v>DETENIDO SAC</v>
      </c>
      <c r="F1505" s="19"/>
      <c r="G1505" s="19" t="str">
        <f>IFERROR(__xludf.DUMMYFUNCTION("""COMPUTED_VALUE"""),"CV36")</f>
        <v>CV36</v>
      </c>
      <c r="H1505" s="19" t="str">
        <f>IFERROR(__xludf.DUMMYFUNCTION("""COMPUTED_VALUE"""),"INGENIUS")</f>
        <v>INGENIUS</v>
      </c>
      <c r="I1505" s="19" t="str">
        <f>IFERROR(__xludf.DUMMYFUNCTION("""COMPUTED_VALUE"""),"Terminada")</f>
        <v>Terminada</v>
      </c>
      <c r="J1505" s="20">
        <f>IFERROR(__xludf.DUMMYFUNCTION("""COMPUTED_VALUE"""),45041.0)</f>
        <v>45041</v>
      </c>
      <c r="K1505" s="19" t="str">
        <f>IFERROR(__xludf.DUMMYFUNCTION("""COMPUTED_VALUE"""),"Por pintar ")</f>
        <v>Por pintar </v>
      </c>
      <c r="L1505" s="20">
        <f>IFERROR(__xludf.DUMMYFUNCTION("""COMPUTED_VALUE"""),45089.0)</f>
        <v>45089</v>
      </c>
      <c r="M1505" s="19" t="str">
        <f>IFERROR(__xludf.DUMMYFUNCTION("""COMPUTED_VALUE"""),"PP")</f>
        <v>PP</v>
      </c>
      <c r="N1505" s="19" t="str">
        <f>IFERROR(__xludf.DUMMYFUNCTION("""COMPUTED_VALUE"""),"PRIORIDAD 2 Q4 2023 DICIEMBRE")</f>
        <v>PRIORIDAD 2 Q4 2023 DICIEMBRE</v>
      </c>
    </row>
    <row r="1506" ht="15.75" customHeight="1">
      <c r="A1506" s="19" t="str">
        <f>IFERROR(__xludf.DUMMYFUNCTION("""COMPUTED_VALUE"""),"AB_9999")</f>
        <v>AB_9999</v>
      </c>
      <c r="B1506" s="19" t="str">
        <f>IFERROR(__xludf.DUMMYFUNCTION("""COMPUTED_VALUE"""),"AB_9999_A")</f>
        <v>AB_9999_A</v>
      </c>
      <c r="C1506" s="19" t="str">
        <f>IFERROR(__xludf.DUMMYFUNCTION("""COMPUTED_VALUE"""),"AN9999")</f>
        <v>AN9999</v>
      </c>
      <c r="D1506" s="19" t="str">
        <f>IFERROR(__xludf.DUMMYFUNCTION("""COMPUTED_VALUE"""),"Punta Aña")</f>
        <v>Punta Aña</v>
      </c>
      <c r="E1506" s="19" t="str">
        <f>IFERROR(__xludf.DUMMYFUNCTION("""COMPUTED_VALUE"""),"DETENIDO SAC")</f>
        <v>DETENIDO SAC</v>
      </c>
      <c r="F1506" s="19"/>
      <c r="G1506" s="19" t="str">
        <f>IFERROR(__xludf.DUMMYFUNCTION("""COMPUTED_VALUE"""),"CV30")</f>
        <v>CV30</v>
      </c>
      <c r="H1506" s="19" t="str">
        <f>IFERROR(__xludf.DUMMYFUNCTION("""COMPUTED_VALUE"""),"MER")</f>
        <v>MER</v>
      </c>
      <c r="I1506" s="19" t="str">
        <f>IFERROR(__xludf.DUMMYFUNCTION("""COMPUTED_VALUE"""),"Terminada")</f>
        <v>Terminada</v>
      </c>
      <c r="J1506" s="20">
        <f>IFERROR(__xludf.DUMMYFUNCTION("""COMPUTED_VALUE"""),45051.0)</f>
        <v>45051</v>
      </c>
      <c r="K1506" s="19" t="str">
        <f>IFERROR(__xludf.DUMMYFUNCTION("""COMPUTED_VALUE"""),"Por pintar ")</f>
        <v>Por pintar </v>
      </c>
      <c r="L1506" s="20">
        <f>IFERROR(__xludf.DUMMYFUNCTION("""COMPUTED_VALUE"""),45054.0)</f>
        <v>45054</v>
      </c>
      <c r="M1506" s="19" t="str">
        <f>IFERROR(__xludf.DUMMYFUNCTION("""COMPUTED_VALUE"""),"PP")</f>
        <v>PP</v>
      </c>
      <c r="N1506" s="19" t="str">
        <f>IFERROR(__xludf.DUMMYFUNCTION("""COMPUTED_VALUE"""),"PRIORIDAD 2 Q4 2023 DICIEMBRE")</f>
        <v>PRIORIDAD 2 Q4 2023 DICIEMBRE</v>
      </c>
    </row>
    <row r="1507" ht="15.75" customHeight="1">
      <c r="A1507" s="19" t="str">
        <f>IFERROR(__xludf.DUMMYFUNCTION("""COMPUTED_VALUE"""),"AB_10141")</f>
        <v>AB_10141</v>
      </c>
      <c r="B1507" s="19" t="str">
        <f>IFERROR(__xludf.DUMMYFUNCTION("""COMPUTED_VALUE"""),"AB_10141_A")</f>
        <v>AB_10141_A</v>
      </c>
      <c r="C1507" s="19" t="str">
        <f>IFERROR(__xludf.DUMMYFUNCTION("""COMPUTED_VALUE"""),"AP10141")</f>
        <v>AP10141</v>
      </c>
      <c r="D1507" s="19" t="str">
        <f>IFERROR(__xludf.DUMMYFUNCTION("""COMPUTED_VALUE"""),"Chislluma Cuenca")</f>
        <v>Chislluma Cuenca</v>
      </c>
      <c r="E1507" s="19" t="str">
        <f>IFERROR(__xludf.DUMMYFUNCTION("""COMPUTED_VALUE"""),"SITIO ASIGNADO")</f>
        <v>SITIO ASIGNADO</v>
      </c>
      <c r="F1507" s="19"/>
      <c r="G1507" s="19" t="str">
        <f>IFERROR(__xludf.DUMMYFUNCTION("""COMPUTED_VALUE"""),"CV60")</f>
        <v>CV60</v>
      </c>
      <c r="H1507" s="19" t="str">
        <f>IFERROR(__xludf.DUMMYFUNCTION("""COMPUTED_VALUE"""),"DEPROMET")</f>
        <v>DEPROMET</v>
      </c>
      <c r="I1507" s="19" t="str">
        <f>IFERROR(__xludf.DUMMYFUNCTION("""COMPUTED_VALUE"""),"Terminada")</f>
        <v>Terminada</v>
      </c>
      <c r="J1507" s="20">
        <f>IFERROR(__xludf.DUMMYFUNCTION("""COMPUTED_VALUE"""),44893.0)</f>
        <v>44893</v>
      </c>
      <c r="K1507" s="19" t="str">
        <f>IFERROR(__xludf.DUMMYFUNCTION("""COMPUTED_VALUE"""),"Terminada")</f>
        <v>Terminada</v>
      </c>
      <c r="L1507" s="20">
        <f>IFERROR(__xludf.DUMMYFUNCTION("""COMPUTED_VALUE"""),44911.0)</f>
        <v>44911</v>
      </c>
      <c r="M1507" s="19" t="str">
        <f>IFERROR(__xludf.DUMMYFUNCTION("""COMPUTED_VALUE"""),"PP")</f>
        <v>PP</v>
      </c>
      <c r="N1507" s="19" t="str">
        <f>IFERROR(__xludf.DUMMYFUNCTION("""COMPUTED_VALUE"""),"PRIORIDAD 1 Q3 2023 OCTUBRE")</f>
        <v>PRIORIDAD 1 Q3 2023 OCTUBRE</v>
      </c>
    </row>
    <row r="1508" ht="15.75" customHeight="1">
      <c r="A1508" s="19" t="str">
        <f>IFERROR(__xludf.DUMMYFUNCTION("""COMPUTED_VALUE"""),"AB_10154")</f>
        <v>AB_10154</v>
      </c>
      <c r="B1508" s="19" t="str">
        <f>IFERROR(__xludf.DUMMYFUNCTION("""COMPUTED_VALUE"""),"AB_10154_A")</f>
        <v>AB_10154_A</v>
      </c>
      <c r="C1508" s="19" t="str">
        <f>IFERROR(__xludf.DUMMYFUNCTION("""COMPUTED_VALUE"""),"AP10154")</f>
        <v>AP10154</v>
      </c>
      <c r="D1508" s="19" t="str">
        <f>IFERROR(__xludf.DUMMYFUNCTION("""COMPUTED_VALUE"""),"Cuenca del Rio Lluta_2 ")</f>
        <v>Cuenca del Rio Lluta_2 </v>
      </c>
      <c r="E1508" s="19" t="str">
        <f>IFERROR(__xludf.DUMMYFUNCTION("""COMPUTED_VALUE"""),"SITIO EN CONSTRUCCION")</f>
        <v>SITIO EN CONSTRUCCION</v>
      </c>
      <c r="F1508" s="19" t="str">
        <f>IFERROR(__xludf.DUMMYFUNCTION("""COMPUTED_VALUE"""),"EXCAVACION")</f>
        <v>EXCAVACION</v>
      </c>
      <c r="G1508" s="19" t="str">
        <f>IFERROR(__xludf.DUMMYFUNCTION("""COMPUTED_VALUE"""),"AS60")</f>
        <v>AS60</v>
      </c>
      <c r="H1508" s="19" t="str">
        <f>IFERROR(__xludf.DUMMYFUNCTION("""COMPUTED_VALUE"""),"DEITEL")</f>
        <v>DEITEL</v>
      </c>
      <c r="I1508" s="19" t="str">
        <f>IFERROR(__xludf.DUMMYFUNCTION("""COMPUTED_VALUE"""),"Entregada")</f>
        <v>Entregada</v>
      </c>
      <c r="J1508" s="20">
        <f>IFERROR(__xludf.DUMMYFUNCTION("""COMPUTED_VALUE"""),44645.0)</f>
        <v>44645</v>
      </c>
      <c r="K1508" s="19" t="str">
        <f>IFERROR(__xludf.DUMMYFUNCTION("""COMPUTED_VALUE"""),"Entregada")</f>
        <v>Entregada</v>
      </c>
      <c r="L1508" s="20">
        <f>IFERROR(__xludf.DUMMYFUNCTION("""COMPUTED_VALUE"""),44645.0)</f>
        <v>44645</v>
      </c>
      <c r="M1508" s="19" t="str">
        <f>IFERROR(__xludf.DUMMYFUNCTION("""COMPUTED_VALUE"""),"PCM")</f>
        <v>PCM</v>
      </c>
      <c r="N1508" s="19" t="str">
        <f>IFERROR(__xludf.DUMMYFUNCTION("""COMPUTED_VALUE"""),"PRIORIDAD 1 Q3 2023 OCTUBRE")</f>
        <v>PRIORIDAD 1 Q3 2023 OCTUBRE</v>
      </c>
    </row>
    <row r="1509" ht="15.75" customHeight="1">
      <c r="A1509" s="19" t="str">
        <f>IFERROR(__xludf.DUMMYFUNCTION("""COMPUTED_VALUE"""),"AB_10277")</f>
        <v>AB_10277</v>
      </c>
      <c r="B1509" s="19" t="str">
        <f>IFERROR(__xludf.DUMMYFUNCTION("""COMPUTED_VALUE"""),"AB_10277_A")</f>
        <v>AB_10277_A</v>
      </c>
      <c r="C1509" s="19" t="str">
        <f>IFERROR(__xludf.DUMMYFUNCTION("""COMPUTED_VALUE"""),"AP10277")</f>
        <v>AP10277</v>
      </c>
      <c r="D1509" s="19" t="str">
        <f>IFERROR(__xludf.DUMMYFUNCTION("""COMPUTED_VALUE"""),"CIC Cuenca del Lluta")</f>
        <v>CIC Cuenca del Lluta</v>
      </c>
      <c r="E1509" s="19" t="str">
        <f>IFERROR(__xludf.DUMMYFUNCTION("""COMPUTED_VALUE"""),"SITIO ASIGNADO")</f>
        <v>SITIO ASIGNADO</v>
      </c>
      <c r="F1509" s="19"/>
      <c r="G1509" s="19" t="str">
        <f>IFERROR(__xludf.DUMMYFUNCTION("""COMPUTED_VALUE"""),"CV60")</f>
        <v>CV60</v>
      </c>
      <c r="H1509" s="19" t="str">
        <f>IFERROR(__xludf.DUMMYFUNCTION("""COMPUTED_VALUE"""),"DEPROMET")</f>
        <v>DEPROMET</v>
      </c>
      <c r="I1509" s="19" t="str">
        <f>IFERROR(__xludf.DUMMYFUNCTION("""COMPUTED_VALUE"""),"Terminada")</f>
        <v>Terminada</v>
      </c>
      <c r="J1509" s="20">
        <f>IFERROR(__xludf.DUMMYFUNCTION("""COMPUTED_VALUE"""),45001.0)</f>
        <v>45001</v>
      </c>
      <c r="K1509" s="19" t="str">
        <f>IFERROR(__xludf.DUMMYFUNCTION("""COMPUTED_VALUE"""),"Terminada")</f>
        <v>Terminada</v>
      </c>
      <c r="L1509" s="20">
        <f>IFERROR(__xludf.DUMMYFUNCTION("""COMPUTED_VALUE"""),45014.0)</f>
        <v>45014</v>
      </c>
      <c r="M1509" s="19" t="str">
        <f>IFERROR(__xludf.DUMMYFUNCTION("""COMPUTED_VALUE"""),"PP")</f>
        <v>PP</v>
      </c>
      <c r="N1509" s="19" t="str">
        <f>IFERROR(__xludf.DUMMYFUNCTION("""COMPUTED_VALUE"""),"PRIORIDAD 1 Q3 2023 OCTUBRE")</f>
        <v>PRIORIDAD 1 Q3 2023 OCTUBRE</v>
      </c>
    </row>
    <row r="1510" ht="15.75" customHeight="1">
      <c r="A1510" s="19" t="str">
        <f>IFERROR(__xludf.DUMMYFUNCTION("""COMPUTED_VALUE"""),"AB_10324")</f>
        <v>AB_10324</v>
      </c>
      <c r="B1510" s="19" t="str">
        <f>IFERROR(__xludf.DUMMYFUNCTION("""COMPUTED_VALUE"""),"AB_10324_A")</f>
        <v>AB_10324_A</v>
      </c>
      <c r="C1510" s="19" t="str">
        <f>IFERROR(__xludf.DUMMYFUNCTION("""COMPUTED_VALUE"""),"AP10324")</f>
        <v>AP10324</v>
      </c>
      <c r="D1510" s="19" t="str">
        <f>IFERROR(__xludf.DUMMYFUNCTION("""COMPUTED_VALUE"""),"Cuenca del rio Lluta_1")</f>
        <v>Cuenca del rio Lluta_1</v>
      </c>
      <c r="E1510" s="19" t="str">
        <f>IFERROR(__xludf.DUMMYFUNCTION("""COMPUTED_VALUE"""),"SITIO EN CONSTRUCCION")</f>
        <v>SITIO EN CONSTRUCCION</v>
      </c>
      <c r="F1510" s="19" t="str">
        <f>IFERROR(__xludf.DUMMYFUNCTION("""COMPUTED_VALUE"""),"VISITA")</f>
        <v>VISITA</v>
      </c>
      <c r="G1510" s="19" t="str">
        <f>IFERROR(__xludf.DUMMYFUNCTION("""COMPUTED_VALUE"""),"CV60")</f>
        <v>CV60</v>
      </c>
      <c r="H1510" s="19" t="str">
        <f>IFERROR(__xludf.DUMMYFUNCTION("""COMPUTED_VALUE"""),"DEPROMET")</f>
        <v>DEPROMET</v>
      </c>
      <c r="I1510" s="19" t="str">
        <f>IFERROR(__xludf.DUMMYFUNCTION("""COMPUTED_VALUE"""),"Terminada")</f>
        <v>Terminada</v>
      </c>
      <c r="J1510" s="20">
        <f>IFERROR(__xludf.DUMMYFUNCTION("""COMPUTED_VALUE"""),45001.0)</f>
        <v>45001</v>
      </c>
      <c r="K1510" s="19" t="str">
        <f>IFERROR(__xludf.DUMMYFUNCTION("""COMPUTED_VALUE"""),"Por pintar ")</f>
        <v>Por pintar </v>
      </c>
      <c r="L1510" s="20">
        <f>IFERROR(__xludf.DUMMYFUNCTION("""COMPUTED_VALUE"""),45051.0)</f>
        <v>45051</v>
      </c>
      <c r="M1510" s="19" t="str">
        <f>IFERROR(__xludf.DUMMYFUNCTION("""COMPUTED_VALUE"""),"PP")</f>
        <v>PP</v>
      </c>
      <c r="N1510" s="19" t="str">
        <f>IFERROR(__xludf.DUMMYFUNCTION("""COMPUTED_VALUE"""),"PRIORIDAD 1 Q3 2023 OCTUBRE")</f>
        <v>PRIORIDAD 1 Q3 2023 OCTUBRE</v>
      </c>
    </row>
    <row r="1511" ht="15.75" customHeight="1">
      <c r="A1511" s="19" t="str">
        <f>IFERROR(__xludf.DUMMYFUNCTION("""COMPUTED_VALUE"""),"AB_2459")</f>
        <v>AB_2459</v>
      </c>
      <c r="B1511" s="19" t="str">
        <f>IFERROR(__xludf.DUMMYFUNCTION("""COMPUTED_VALUE"""),"AB_2459_D")</f>
        <v>AB_2459_D</v>
      </c>
      <c r="C1511" s="19" t="str">
        <f>IFERROR(__xludf.DUMMYFUNCTION("""COMPUTED_VALUE"""),"AP2459")</f>
        <v>AP2459</v>
      </c>
      <c r="D1511" s="19" t="str">
        <f>IFERROR(__xludf.DUMMYFUNCTION("""COMPUTED_VALUE"""),"Putre")</f>
        <v>Putre</v>
      </c>
      <c r="E1511" s="19" t="str">
        <f>IFERROR(__xludf.DUMMYFUNCTION("""COMPUTED_VALUE"""),"SITIO EN CONSTRUCCION")</f>
        <v>SITIO EN CONSTRUCCION</v>
      </c>
      <c r="F1511" s="19" t="str">
        <f>IFERROR(__xludf.DUMMYFUNCTION("""COMPUTED_VALUE"""),"ENFIERRADURA")</f>
        <v>ENFIERRADURA</v>
      </c>
      <c r="G1511" s="19" t="str">
        <f>IFERROR(__xludf.DUMMYFUNCTION("""COMPUTED_VALUE"""),"AS60(E)")</f>
        <v>AS60(E)</v>
      </c>
      <c r="H1511" s="19" t="str">
        <f>IFERROR(__xludf.DUMMYFUNCTION("""COMPUTED_VALUE"""),"MER")</f>
        <v>MER</v>
      </c>
      <c r="I1511" s="19" t="str">
        <f>IFERROR(__xludf.DUMMYFUNCTION("""COMPUTED_VALUE"""),"Entregada")</f>
        <v>Entregada</v>
      </c>
      <c r="J1511" s="20">
        <f>IFERROR(__xludf.DUMMYFUNCTION("""COMPUTED_VALUE"""),44938.0)</f>
        <v>44938</v>
      </c>
      <c r="K1511" s="19" t="str">
        <f>IFERROR(__xludf.DUMMYFUNCTION("""COMPUTED_VALUE"""),"Entregada")</f>
        <v>Entregada</v>
      </c>
      <c r="L1511" s="20">
        <f>IFERROR(__xludf.DUMMYFUNCTION("""COMPUTED_VALUE"""),44938.0)</f>
        <v>44938</v>
      </c>
      <c r="M1511" s="19" t="str">
        <f>IFERROR(__xludf.DUMMYFUNCTION("""COMPUTED_VALUE"""),"PCM")</f>
        <v>PCM</v>
      </c>
      <c r="N1511" s="19" t="str">
        <f>IFERROR(__xludf.DUMMYFUNCTION("""COMPUTED_VALUE"""),"PRIORIDAD 1 Q3 2023 OCTUBRE")</f>
        <v>PRIORIDAD 1 Q3 2023 OCTUBRE</v>
      </c>
    </row>
    <row r="1512" ht="15.75" customHeight="1">
      <c r="A1512" s="19" t="str">
        <f>IFERROR(__xludf.DUMMYFUNCTION("""COMPUTED_VALUE"""),"AB_2625")</f>
        <v>AB_2625</v>
      </c>
      <c r="B1512" s="19" t="str">
        <f>IFERROR(__xludf.DUMMYFUNCTION("""COMPUTED_VALUE"""),"AB_2625_E")</f>
        <v>AB_2625_E</v>
      </c>
      <c r="C1512" s="19" t="str">
        <f>IFERROR(__xludf.DUMMYFUNCTION("""COMPUTED_VALUE"""),"AP2625")</f>
        <v>AP2625</v>
      </c>
      <c r="D1512" s="19" t="str">
        <f>IFERROR(__xludf.DUMMYFUNCTION("""COMPUTED_VALUE"""),"Valle de Lluta")</f>
        <v>Valle de Lluta</v>
      </c>
      <c r="E1512" s="19" t="str">
        <f>IFERROR(__xludf.DUMMYFUNCTION("""COMPUTED_VALUE"""),"DETENIDO COMPRA ESTRUCTURA")</f>
        <v>DETENIDO COMPRA ESTRUCTURA</v>
      </c>
      <c r="F1512" s="19"/>
      <c r="G1512" s="19" t="str">
        <f>IFERROR(__xludf.DUMMYFUNCTION("""COMPUTED_VALUE"""),"x")</f>
        <v>x</v>
      </c>
      <c r="H1512" s="19" t="str">
        <f>IFERROR(__xludf.DUMMYFUNCTION("""COMPUTED_VALUE"""),"x")</f>
        <v>x</v>
      </c>
      <c r="I1512" s="19" t="str">
        <f>IFERROR(__xludf.DUMMYFUNCTION("""COMPUTED_VALUE"""),"x")</f>
        <v>x</v>
      </c>
      <c r="J1512" s="20" t="str">
        <f>IFERROR(__xludf.DUMMYFUNCTION("""COMPUTED_VALUE"""),"x")</f>
        <v>x</v>
      </c>
      <c r="K1512" s="19" t="str">
        <f>IFERROR(__xludf.DUMMYFUNCTION("""COMPUTED_VALUE"""),"x")</f>
        <v>x</v>
      </c>
      <c r="L1512" s="20" t="str">
        <f>IFERROR(__xludf.DUMMYFUNCTION("""COMPUTED_VALUE"""),"x")</f>
        <v>x</v>
      </c>
      <c r="M1512" s="19" t="str">
        <f>IFERROR(__xludf.DUMMYFUNCTION("""COMPUTED_VALUE"""),"PP")</f>
        <v>PP</v>
      </c>
      <c r="N1512" s="19" t="str">
        <f>IFERROR(__xludf.DUMMYFUNCTION("""COMPUTED_VALUE"""),"PRIORIDAD 3 Q1 2024 MARZO")</f>
        <v>PRIORIDAD 3 Q1 2024 MARZO</v>
      </c>
    </row>
    <row r="1513" ht="15.75" customHeight="1">
      <c r="A1513" s="19" t="str">
        <f>IFERROR(__xludf.DUMMYFUNCTION("""COMPUTED_VALUE"""),"AB_2776")</f>
        <v>AB_2776</v>
      </c>
      <c r="B1513" s="19" t="str">
        <f>IFERROR(__xludf.DUMMYFUNCTION("""COMPUTED_VALUE"""),"AB_2776_A")</f>
        <v>AB_2776_A</v>
      </c>
      <c r="C1513" s="19" t="str">
        <f>IFERROR(__xludf.DUMMYFUNCTION("""COMPUTED_VALUE"""),"AP2776")</f>
        <v>AP2776</v>
      </c>
      <c r="D1513" s="19" t="str">
        <f>IFERROR(__xludf.DUMMYFUNCTION("""COMPUTED_VALUE"""),"Lago Chungara")</f>
        <v>Lago Chungara</v>
      </c>
      <c r="E1513" s="19" t="str">
        <f>IFERROR(__xludf.DUMMYFUNCTION("""COMPUTED_VALUE"""),"SITIO PENDIENTE")</f>
        <v>SITIO PENDIENTE</v>
      </c>
      <c r="F1513" s="19"/>
      <c r="G1513" s="19" t="str">
        <f>IFERROR(__xludf.DUMMYFUNCTION("""COMPUTED_VALUE"""),"x")</f>
        <v>x</v>
      </c>
      <c r="H1513" s="19" t="str">
        <f>IFERROR(__xludf.DUMMYFUNCTION("""COMPUTED_VALUE"""),"x")</f>
        <v>x</v>
      </c>
      <c r="I1513" s="19" t="str">
        <f>IFERROR(__xludf.DUMMYFUNCTION("""COMPUTED_VALUE"""),"x")</f>
        <v>x</v>
      </c>
      <c r="J1513" s="20" t="str">
        <f>IFERROR(__xludf.DUMMYFUNCTION("""COMPUTED_VALUE"""),"x")</f>
        <v>x</v>
      </c>
      <c r="K1513" s="19" t="str">
        <f>IFERROR(__xludf.DUMMYFUNCTION("""COMPUTED_VALUE"""),"x")</f>
        <v>x</v>
      </c>
      <c r="L1513" s="20" t="str">
        <f>IFERROR(__xludf.DUMMYFUNCTION("""COMPUTED_VALUE"""),"x")</f>
        <v>x</v>
      </c>
      <c r="M1513" s="19" t="str">
        <f>IFERROR(__xludf.DUMMYFUNCTION("""COMPUTED_VALUE"""),"PP")</f>
        <v>PP</v>
      </c>
      <c r="N1513" s="19" t="str">
        <f>IFERROR(__xludf.DUMMYFUNCTION("""COMPUTED_VALUE"""),"PRIORIDAD 3 Q1 2024 MARZO")</f>
        <v>PRIORIDAD 3 Q1 2024 MARZO</v>
      </c>
    </row>
    <row r="1514" ht="15.75" customHeight="1">
      <c r="A1514" s="19" t="str">
        <f>IFERROR(__xludf.DUMMYFUNCTION("""COMPUTED_VALUE"""),"AB_3567")</f>
        <v>AB_3567</v>
      </c>
      <c r="B1514" s="19" t="str">
        <f>IFERROR(__xludf.DUMMYFUNCTION("""COMPUTED_VALUE"""),"AB_3567_A")</f>
        <v>AB_3567_A</v>
      </c>
      <c r="C1514" s="19" t="str">
        <f>IFERROR(__xludf.DUMMYFUNCTION("""COMPUTED_VALUE"""),"AP3567")</f>
        <v>AP3567</v>
      </c>
      <c r="D1514" s="19" t="str">
        <f>IFERROR(__xludf.DUMMYFUNCTION("""COMPUTED_VALUE"""),"Ruta Simon Bolivar")</f>
        <v>Ruta Simon Bolivar</v>
      </c>
      <c r="E1514" s="19" t="str">
        <f>IFERROR(__xludf.DUMMYFUNCTION("""COMPUTED_VALUE"""),"SITIO ASIGNADO")</f>
        <v>SITIO ASIGNADO</v>
      </c>
      <c r="F1514" s="19"/>
      <c r="G1514" s="19" t="str">
        <f>IFERROR(__xludf.DUMMYFUNCTION("""COMPUTED_VALUE"""),"AS30")</f>
        <v>AS30</v>
      </c>
      <c r="H1514" s="19" t="str">
        <f>IFERROR(__xludf.DUMMYFUNCTION("""COMPUTED_VALUE"""),"METALING")</f>
        <v>METALING</v>
      </c>
      <c r="I1514" s="19" t="str">
        <f>IFERROR(__xludf.DUMMYFUNCTION("""COMPUTED_VALUE"""),"Terminada")</f>
        <v>Terminada</v>
      </c>
      <c r="J1514" s="20">
        <f>IFERROR(__xludf.DUMMYFUNCTION("""COMPUTED_VALUE"""),44747.0)</f>
        <v>44747</v>
      </c>
      <c r="K1514" s="19" t="str">
        <f>IFERROR(__xludf.DUMMYFUNCTION("""COMPUTED_VALUE"""),"Terminada")</f>
        <v>Terminada</v>
      </c>
      <c r="L1514" s="20">
        <f>IFERROR(__xludf.DUMMYFUNCTION("""COMPUTED_VALUE"""),44778.0)</f>
        <v>44778</v>
      </c>
      <c r="M1514" s="19" t="str">
        <f>IFERROR(__xludf.DUMMYFUNCTION("""COMPUTED_VALUE"""),"PP")</f>
        <v>PP</v>
      </c>
      <c r="N1514" s="19" t="str">
        <f>IFERROR(__xludf.DUMMYFUNCTION("""COMPUTED_VALUE"""),"PRIORIDAD 1 Q3 2023 OCTUBRE")</f>
        <v>PRIORIDAD 1 Q3 2023 OCTUBRE</v>
      </c>
    </row>
    <row r="1515" ht="15.75" customHeight="1">
      <c r="A1515" s="19" t="str">
        <f>IFERROR(__xludf.DUMMYFUNCTION("""COMPUTED_VALUE"""),"AB_5342")</f>
        <v>AB_5342</v>
      </c>
      <c r="B1515" s="19" t="str">
        <f>IFERROR(__xludf.DUMMYFUNCTION("""COMPUTED_VALUE"""),"AB_5342_F")</f>
        <v>AB_5342_F</v>
      </c>
      <c r="C1515" s="19" t="str">
        <f>IFERROR(__xludf.DUMMYFUNCTION("""COMPUTED_VALUE"""),"AP5342")</f>
        <v>AP5342</v>
      </c>
      <c r="D1515" s="19" t="str">
        <f>IFERROR(__xludf.DUMMYFUNCTION("""COMPUTED_VALUE"""),"Arica Puerto")</f>
        <v>Arica Puerto</v>
      </c>
      <c r="E1515" s="19" t="str">
        <f>IFERROR(__xludf.DUMMYFUNCTION("""COMPUTED_VALUE"""),"SITIO RFI")</f>
        <v>SITIO RFI</v>
      </c>
      <c r="F1515" s="19" t="str">
        <f>IFERROR(__xludf.DUMMYFUNCTION("""COMPUTED_VALUE"""),"RFI")</f>
        <v>RFI</v>
      </c>
      <c r="G1515" s="19" t="str">
        <f>IFERROR(__xludf.DUMMYFUNCTION("""COMPUTED_VALUE"""),"x")</f>
        <v>x</v>
      </c>
      <c r="H1515" s="19" t="str">
        <f>IFERROR(__xludf.DUMMYFUNCTION("""COMPUTED_VALUE"""),"x")</f>
        <v>x</v>
      </c>
      <c r="I1515" s="19" t="str">
        <f>IFERROR(__xludf.DUMMYFUNCTION("""COMPUTED_VALUE"""),"x")</f>
        <v>x</v>
      </c>
      <c r="J1515" s="20" t="str">
        <f>IFERROR(__xludf.DUMMYFUNCTION("""COMPUTED_VALUE"""),"x")</f>
        <v>x</v>
      </c>
      <c r="K1515" s="19" t="str">
        <f>IFERROR(__xludf.DUMMYFUNCTION("""COMPUTED_VALUE"""),"x")</f>
        <v>x</v>
      </c>
      <c r="L1515" s="20" t="str">
        <f>IFERROR(__xludf.DUMMYFUNCTION("""COMPUTED_VALUE"""),"x")</f>
        <v>x</v>
      </c>
      <c r="M1515" s="19" t="str">
        <f>IFERROR(__xludf.DUMMYFUNCTION("""COMPUTED_VALUE"""),"PCM")</f>
        <v>PCM</v>
      </c>
      <c r="N1515" s="19" t="str">
        <f>IFERROR(__xludf.DUMMYFUNCTION("""COMPUTED_VALUE"""),"PRIORIDAD 1 Q3 2023 OCTUBRE")</f>
        <v>PRIORIDAD 1 Q3 2023 OCTUBRE</v>
      </c>
    </row>
    <row r="1516" ht="15.75" customHeight="1">
      <c r="A1516" s="19" t="str">
        <f>IFERROR(__xludf.DUMMYFUNCTION("""COMPUTED_VALUE"""),"AB_9456")</f>
        <v>AB_9456</v>
      </c>
      <c r="B1516" s="19" t="str">
        <f>IFERROR(__xludf.DUMMYFUNCTION("""COMPUTED_VALUE"""),"AB_9456_B")</f>
        <v>AB_9456_B</v>
      </c>
      <c r="C1516" s="19" t="str">
        <f>IFERROR(__xludf.DUMMYFUNCTION("""COMPUTED_VALUE"""),"AP9456")</f>
        <v>AP9456</v>
      </c>
      <c r="D1516" s="19" t="str">
        <f>IFERROR(__xludf.DUMMYFUNCTION("""COMPUTED_VALUE"""),"Acha")</f>
        <v>Acha</v>
      </c>
      <c r="E1516" s="19" t="str">
        <f>IFERROR(__xludf.DUMMYFUNCTION("""COMPUTED_VALUE"""),"DETENIDO COMPRA ESTRUCTURA")</f>
        <v>DETENIDO COMPRA ESTRUCTURA</v>
      </c>
      <c r="F1516" s="19"/>
      <c r="G1516" s="19" t="str">
        <f>IFERROR(__xludf.DUMMYFUNCTION("""COMPUTED_VALUE"""),"AS54")</f>
        <v>AS54</v>
      </c>
      <c r="H1516" s="19" t="str">
        <f>IFERROR(__xludf.DUMMYFUNCTION("""COMPUTED_VALUE"""),"COMPRAS")</f>
        <v>COMPRAS</v>
      </c>
      <c r="I1516" s="19"/>
      <c r="J1516" s="20"/>
      <c r="K1516" s="19"/>
      <c r="L1516" s="20"/>
      <c r="M1516" s="19" t="str">
        <f>IFERROR(__xludf.DUMMYFUNCTION("""COMPUTED_VALUE"""),"PP")</f>
        <v>PP</v>
      </c>
      <c r="N1516" s="19" t="str">
        <f>IFERROR(__xludf.DUMMYFUNCTION("""COMPUTED_VALUE"""),"PRIORIDAD 2 Q4 2023 DICIEMBRE")</f>
        <v>PRIORIDAD 2 Q4 2023 DICIEMBRE</v>
      </c>
    </row>
    <row r="1517" ht="15.75" customHeight="1">
      <c r="A1517" s="19" t="str">
        <f>IFERROR(__xludf.DUMMYFUNCTION("""COMPUTED_VALUE"""),"AB_9457")</f>
        <v>AB_9457</v>
      </c>
      <c r="B1517" s="19" t="str">
        <f>IFERROR(__xludf.DUMMYFUNCTION("""COMPUTED_VALUE"""),"AB_9457_C")</f>
        <v>AB_9457_C</v>
      </c>
      <c r="C1517" s="19" t="str">
        <f>IFERROR(__xludf.DUMMYFUNCTION("""COMPUTED_VALUE"""),"AP9457")</f>
        <v>AP9457</v>
      </c>
      <c r="D1517" s="19" t="str">
        <f>IFERROR(__xludf.DUMMYFUNCTION("""COMPUTED_VALUE"""),"Arica Acceso Sur")</f>
        <v>Arica Acceso Sur</v>
      </c>
      <c r="E1517" s="19" t="str">
        <f>IFERROR(__xludf.DUMMYFUNCTION("""COMPUTED_VALUE"""),"SITIO RFI")</f>
        <v>SITIO RFI</v>
      </c>
      <c r="F1517" s="19" t="str">
        <f>IFERROR(__xludf.DUMMYFUNCTION("""COMPUTED_VALUE"""),"RFI")</f>
        <v>RFI</v>
      </c>
      <c r="G1517" s="19" t="str">
        <f>IFERROR(__xludf.DUMMYFUNCTION("""COMPUTED_VALUE"""),"AS24")</f>
        <v>AS24</v>
      </c>
      <c r="H1517" s="19" t="str">
        <f>IFERROR(__xludf.DUMMYFUNCTION("""COMPUTED_VALUE"""),"AJ")</f>
        <v>AJ</v>
      </c>
      <c r="I1517" s="19" t="str">
        <f>IFERROR(__xludf.DUMMYFUNCTION("""COMPUTED_VALUE"""),"Entregada")</f>
        <v>Entregada</v>
      </c>
      <c r="J1517" s="20">
        <f>IFERROR(__xludf.DUMMYFUNCTION("""COMPUTED_VALUE"""),44697.0)</f>
        <v>44697</v>
      </c>
      <c r="K1517" s="19" t="str">
        <f>IFERROR(__xludf.DUMMYFUNCTION("""COMPUTED_VALUE"""),"Entregada")</f>
        <v>Entregada</v>
      </c>
      <c r="L1517" s="20">
        <f>IFERROR(__xludf.DUMMYFUNCTION("""COMPUTED_VALUE"""),44848.0)</f>
        <v>44848</v>
      </c>
      <c r="M1517" s="19" t="str">
        <f>IFERROR(__xludf.DUMMYFUNCTION("""COMPUTED_VALUE"""),"PP")</f>
        <v>PP</v>
      </c>
      <c r="N1517" s="19" t="str">
        <f>IFERROR(__xludf.DUMMYFUNCTION("""COMPUTED_VALUE"""),"PRIORIDAD 1 Q3 2023 OCTUBRE")</f>
        <v>PRIORIDAD 1 Q3 2023 OCTUBRE</v>
      </c>
    </row>
    <row r="1518" ht="15.75" customHeight="1">
      <c r="A1518" s="19" t="str">
        <f>IFERROR(__xludf.DUMMYFUNCTION("""COMPUTED_VALUE"""),"AB_9458")</f>
        <v>AB_9458</v>
      </c>
      <c r="B1518" s="19" t="str">
        <f>IFERROR(__xludf.DUMMYFUNCTION("""COMPUTED_VALUE"""),"AB_9458_A")</f>
        <v>AB_9458_A</v>
      </c>
      <c r="C1518" s="19" t="str">
        <f>IFERROR(__xludf.DUMMYFUNCTION("""COMPUTED_VALUE"""),"AP9458")</f>
        <v>AP9458</v>
      </c>
      <c r="D1518" s="19" t="str">
        <f>IFERROR(__xludf.DUMMYFUNCTION("""COMPUTED_VALUE"""),"Cuesta de Acha")</f>
        <v>Cuesta de Acha</v>
      </c>
      <c r="E1518" s="19" t="str">
        <f>IFERROR(__xludf.DUMMYFUNCTION("""COMPUTED_VALUE"""),"SITIO RFI")</f>
        <v>SITIO RFI</v>
      </c>
      <c r="F1518" s="19" t="str">
        <f>IFERROR(__xludf.DUMMYFUNCTION("""COMPUTED_VALUE"""),"RFI")</f>
        <v>RFI</v>
      </c>
      <c r="G1518" s="19" t="str">
        <f>IFERROR(__xludf.DUMMYFUNCTION("""COMPUTED_VALUE"""),"CV48")</f>
        <v>CV48</v>
      </c>
      <c r="H1518" s="19" t="str">
        <f>IFERROR(__xludf.DUMMYFUNCTION("""COMPUTED_VALUE"""),"MER")</f>
        <v>MER</v>
      </c>
      <c r="I1518" s="19" t="str">
        <f>IFERROR(__xludf.DUMMYFUNCTION("""COMPUTED_VALUE"""),"Entregada")</f>
        <v>Entregada</v>
      </c>
      <c r="J1518" s="20">
        <f>IFERROR(__xludf.DUMMYFUNCTION("""COMPUTED_VALUE"""),45051.0)</f>
        <v>45051</v>
      </c>
      <c r="K1518" s="19" t="str">
        <f>IFERROR(__xludf.DUMMYFUNCTION("""COMPUTED_VALUE"""),"Entregada")</f>
        <v>Entregada</v>
      </c>
      <c r="L1518" s="20">
        <f>IFERROR(__xludf.DUMMYFUNCTION("""COMPUTED_VALUE"""),45054.0)</f>
        <v>45054</v>
      </c>
      <c r="M1518" s="19" t="str">
        <f>IFERROR(__xludf.DUMMYFUNCTION("""COMPUTED_VALUE"""),"PP")</f>
        <v>PP</v>
      </c>
      <c r="N1518" s="19" t="str">
        <f>IFERROR(__xludf.DUMMYFUNCTION("""COMPUTED_VALUE"""),"PRIORIDAD 2 Q4 2023 DICIEMBRE")</f>
        <v>PRIORIDAD 2 Q4 2023 DICIEMBRE</v>
      </c>
    </row>
    <row r="1519" ht="15.75" customHeight="1">
      <c r="A1519" s="19" t="str">
        <f>IFERROR(__xludf.DUMMYFUNCTION("""COMPUTED_VALUE"""),"AB_9459")</f>
        <v>AB_9459</v>
      </c>
      <c r="B1519" s="19" t="str">
        <f>IFERROR(__xludf.DUMMYFUNCTION("""COMPUTED_VALUE"""),"AB_9459_A")</f>
        <v>AB_9459_A</v>
      </c>
      <c r="C1519" s="19" t="str">
        <f>IFERROR(__xludf.DUMMYFUNCTION("""COMPUTED_VALUE"""),"AP9459")</f>
        <v>AP9459</v>
      </c>
      <c r="D1519" s="19" t="str">
        <f>IFERROR(__xludf.DUMMYFUNCTION("""COMPUTED_VALUE"""),"Quebrada de Vitor")</f>
        <v>Quebrada de Vitor</v>
      </c>
      <c r="E1519" s="19" t="str">
        <f>IFERROR(__xludf.DUMMYFUNCTION("""COMPUTED_VALUE"""),"SITIO RFI")</f>
        <v>SITIO RFI</v>
      </c>
      <c r="F1519" s="19" t="str">
        <f>IFERROR(__xludf.DUMMYFUNCTION("""COMPUTED_VALUE"""),"RFI")</f>
        <v>RFI</v>
      </c>
      <c r="G1519" s="19" t="str">
        <f>IFERROR(__xludf.DUMMYFUNCTION("""COMPUTED_VALUE"""),"AS60")</f>
        <v>AS60</v>
      </c>
      <c r="H1519" s="19" t="str">
        <f>IFERROR(__xludf.DUMMYFUNCTION("""COMPUTED_VALUE"""),"DEITEL")</f>
        <v>DEITEL</v>
      </c>
      <c r="I1519" s="19" t="str">
        <f>IFERROR(__xludf.DUMMYFUNCTION("""COMPUTED_VALUE"""),"Entregada")</f>
        <v>Entregada</v>
      </c>
      <c r="J1519" s="20">
        <f>IFERROR(__xludf.DUMMYFUNCTION("""COMPUTED_VALUE"""),44854.0)</f>
        <v>44854</v>
      </c>
      <c r="K1519" s="19" t="str">
        <f>IFERROR(__xludf.DUMMYFUNCTION("""COMPUTED_VALUE"""),"Entregada")</f>
        <v>Entregada</v>
      </c>
      <c r="L1519" s="20">
        <f>IFERROR(__xludf.DUMMYFUNCTION("""COMPUTED_VALUE"""),44854.0)</f>
        <v>44854</v>
      </c>
      <c r="M1519" s="19" t="str">
        <f>IFERROR(__xludf.DUMMYFUNCTION("""COMPUTED_VALUE"""),"PP")</f>
        <v>PP</v>
      </c>
      <c r="N1519" s="19" t="str">
        <f>IFERROR(__xludf.DUMMYFUNCTION("""COMPUTED_VALUE"""),"PRIORIDAD 1 Q3 2023 OCTUBRE")</f>
        <v>PRIORIDAD 1 Q3 2023 OCTUBRE</v>
      </c>
    </row>
    <row r="1520" ht="15.75" customHeight="1">
      <c r="A1520" s="19" t="str">
        <f>IFERROR(__xludf.DUMMYFUNCTION("""COMPUTED_VALUE"""),"AB_9460")</f>
        <v>AB_9460</v>
      </c>
      <c r="B1520" s="19" t="str">
        <f>IFERROR(__xludf.DUMMYFUNCTION("""COMPUTED_VALUE"""),"AB_9460_A")</f>
        <v>AB_9460_A</v>
      </c>
      <c r="C1520" s="19" t="str">
        <f>IFERROR(__xludf.DUMMYFUNCTION("""COMPUTED_VALUE"""),"AP9460")</f>
        <v>AP9460</v>
      </c>
      <c r="D1520" s="19" t="str">
        <f>IFERROR(__xludf.DUMMYFUNCTION("""COMPUTED_VALUE"""),"Quebrada de Chaca")</f>
        <v>Quebrada de Chaca</v>
      </c>
      <c r="E1520" s="19" t="str">
        <f>IFERROR(__xludf.DUMMYFUNCTION("""COMPUTED_VALUE"""),"SITIO ASIGNADO")</f>
        <v>SITIO ASIGNADO</v>
      </c>
      <c r="F1520" s="19"/>
      <c r="G1520" s="19" t="str">
        <f>IFERROR(__xludf.DUMMYFUNCTION("""COMPUTED_VALUE"""),"CV48")</f>
        <v>CV48</v>
      </c>
      <c r="H1520" s="19" t="str">
        <f>IFERROR(__xludf.DUMMYFUNCTION("""COMPUTED_VALUE"""),"MER")</f>
        <v>MER</v>
      </c>
      <c r="I1520" s="19" t="str">
        <f>IFERROR(__xludf.DUMMYFUNCTION("""COMPUTED_VALUE"""),"Terminada")</f>
        <v>Terminada</v>
      </c>
      <c r="J1520" s="20">
        <f>IFERROR(__xludf.DUMMYFUNCTION("""COMPUTED_VALUE"""),45051.0)</f>
        <v>45051</v>
      </c>
      <c r="K1520" s="19" t="str">
        <f>IFERROR(__xludf.DUMMYFUNCTION("""COMPUTED_VALUE"""),"Por pintar ")</f>
        <v>Por pintar </v>
      </c>
      <c r="L1520" s="20">
        <f>IFERROR(__xludf.DUMMYFUNCTION("""COMPUTED_VALUE"""),45054.0)</f>
        <v>45054</v>
      </c>
      <c r="M1520" s="19" t="str">
        <f>IFERROR(__xludf.DUMMYFUNCTION("""COMPUTED_VALUE"""),"PP")</f>
        <v>PP</v>
      </c>
      <c r="N1520" s="19" t="str">
        <f>IFERROR(__xludf.DUMMYFUNCTION("""COMPUTED_VALUE"""),"PRIORIDAD 2 Q4 2023 DICIEMBRE")</f>
        <v>PRIORIDAD 2 Q4 2023 DICIEMBRE</v>
      </c>
    </row>
    <row r="1521" ht="15.75" customHeight="1">
      <c r="A1521" s="19" t="str">
        <f>IFERROR(__xludf.DUMMYFUNCTION("""COMPUTED_VALUE"""),"AB_9461")</f>
        <v>AB_9461</v>
      </c>
      <c r="B1521" s="19" t="str">
        <f>IFERROR(__xludf.DUMMYFUNCTION("""COMPUTED_VALUE"""),"AB_9461_A")</f>
        <v>AB_9461_A</v>
      </c>
      <c r="C1521" s="19" t="str">
        <f>IFERROR(__xludf.DUMMYFUNCTION("""COMPUTED_VALUE"""),"AP9461")</f>
        <v>AP9461</v>
      </c>
      <c r="D1521" s="19" t="str">
        <f>IFERROR(__xludf.DUMMYFUNCTION("""COMPUTED_VALUE"""),"Cuesta de Chaca Sur")</f>
        <v>Cuesta de Chaca Sur</v>
      </c>
      <c r="E1521" s="19" t="str">
        <f>IFERROR(__xludf.DUMMYFUNCTION("""COMPUTED_VALUE"""),"SITIO RFI")</f>
        <v>SITIO RFI</v>
      </c>
      <c r="F1521" s="19" t="str">
        <f>IFERROR(__xludf.DUMMYFUNCTION("""COMPUTED_VALUE"""),"MONTAJE")</f>
        <v>MONTAJE</v>
      </c>
      <c r="G1521" s="19" t="str">
        <f>IFERROR(__xludf.DUMMYFUNCTION("""COMPUTED_VALUE"""),"AS48")</f>
        <v>AS48</v>
      </c>
      <c r="H1521" s="19" t="str">
        <f>IFERROR(__xludf.DUMMYFUNCTION("""COMPUTED_VALUE"""),"METALING")</f>
        <v>METALING</v>
      </c>
      <c r="I1521" s="19" t="str">
        <f>IFERROR(__xludf.DUMMYFUNCTION("""COMPUTED_VALUE"""),"Entregada")</f>
        <v>Entregada</v>
      </c>
      <c r="J1521" s="20">
        <f>IFERROR(__xludf.DUMMYFUNCTION("""COMPUTED_VALUE"""),44876.0)</f>
        <v>44876</v>
      </c>
      <c r="K1521" s="19" t="str">
        <f>IFERROR(__xludf.DUMMYFUNCTION("""COMPUTED_VALUE"""),"Entregada")</f>
        <v>Entregada</v>
      </c>
      <c r="L1521" s="20">
        <f>IFERROR(__xludf.DUMMYFUNCTION("""COMPUTED_VALUE"""),44978.0)</f>
        <v>44978</v>
      </c>
      <c r="M1521" s="19" t="str">
        <f>IFERROR(__xludf.DUMMYFUNCTION("""COMPUTED_VALUE"""),"PP")</f>
        <v>PP</v>
      </c>
      <c r="N1521" s="19" t="str">
        <f>IFERROR(__xludf.DUMMYFUNCTION("""COMPUTED_VALUE"""),"PRIORIDAD 1 Q3 2023 OCTUBRE")</f>
        <v>PRIORIDAD 1 Q3 2023 OCTUBRE</v>
      </c>
    </row>
    <row r="1522" ht="15.75" customHeight="1">
      <c r="A1522" s="19" t="str">
        <f>IFERROR(__xludf.DUMMYFUNCTION("""COMPUTED_VALUE"""),"AB_9462")</f>
        <v>AB_9462</v>
      </c>
      <c r="B1522" s="19" t="str">
        <f>IFERROR(__xludf.DUMMYFUNCTION("""COMPUTED_VALUE"""),"AB_9462_A")</f>
        <v>AB_9462_A</v>
      </c>
      <c r="C1522" s="19" t="str">
        <f>IFERROR(__xludf.DUMMYFUNCTION("""COMPUTED_VALUE"""),"AP9462")</f>
        <v>AP9462</v>
      </c>
      <c r="D1522" s="19" t="str">
        <f>IFERROR(__xludf.DUMMYFUNCTION("""COMPUTED_VALUE"""),"Ruta A-35 Codpa")</f>
        <v>Ruta A-35 Codpa</v>
      </c>
      <c r="E1522" s="19" t="str">
        <f>IFERROR(__xludf.DUMMYFUNCTION("""COMPUTED_VALUE"""),"SITIO RFI")</f>
        <v>SITIO RFI</v>
      </c>
      <c r="F1522" s="19" t="str">
        <f>IFERROR(__xludf.DUMMYFUNCTION("""COMPUTED_VALUE"""),"RFI")</f>
        <v>RFI</v>
      </c>
      <c r="G1522" s="19" t="str">
        <f>IFERROR(__xludf.DUMMYFUNCTION("""COMPUTED_VALUE"""),"AS48")</f>
        <v>AS48</v>
      </c>
      <c r="H1522" s="19" t="str">
        <f>IFERROR(__xludf.DUMMYFUNCTION("""COMPUTED_VALUE"""),"METALING")</f>
        <v>METALING</v>
      </c>
      <c r="I1522" s="19" t="str">
        <f>IFERROR(__xludf.DUMMYFUNCTION("""COMPUTED_VALUE"""),"Entregada")</f>
        <v>Entregada</v>
      </c>
      <c r="J1522" s="20">
        <f>IFERROR(__xludf.DUMMYFUNCTION("""COMPUTED_VALUE"""),44876.0)</f>
        <v>44876</v>
      </c>
      <c r="K1522" s="19" t="str">
        <f>IFERROR(__xludf.DUMMYFUNCTION("""COMPUTED_VALUE"""),"Entregada")</f>
        <v>Entregada</v>
      </c>
      <c r="L1522" s="20">
        <f>IFERROR(__xludf.DUMMYFUNCTION("""COMPUTED_VALUE"""),44978.0)</f>
        <v>44978</v>
      </c>
      <c r="M1522" s="19" t="str">
        <f>IFERROR(__xludf.DUMMYFUNCTION("""COMPUTED_VALUE"""),"PP")</f>
        <v>PP</v>
      </c>
      <c r="N1522" s="19" t="str">
        <f>IFERROR(__xludf.DUMMYFUNCTION("""COMPUTED_VALUE"""),"PRIORIDAD 2 Q4 2023 DICIEMBRE")</f>
        <v>PRIORIDAD 2 Q4 2023 DICIEMBRE</v>
      </c>
    </row>
    <row r="1523" ht="15.75" customHeight="1">
      <c r="A1523" s="19" t="str">
        <f>IFERROR(__xludf.DUMMYFUNCTION("""COMPUTED_VALUE"""),"AB_9463")</f>
        <v>AB_9463</v>
      </c>
      <c r="B1523" s="19" t="str">
        <f>IFERROR(__xludf.DUMMYFUNCTION("""COMPUTED_VALUE"""),"AB_9463_A")</f>
        <v>AB_9463_A</v>
      </c>
      <c r="C1523" s="19" t="str">
        <f>IFERROR(__xludf.DUMMYFUNCTION("""COMPUTED_VALUE"""),"AP9463")</f>
        <v>AP9463</v>
      </c>
      <c r="D1523" s="19" t="str">
        <f>IFERROR(__xludf.DUMMYFUNCTION("""COMPUTED_VALUE"""),"Codpa")</f>
        <v>Codpa</v>
      </c>
      <c r="E1523" s="19" t="str">
        <f>IFERROR(__xludf.DUMMYFUNCTION("""COMPUTED_VALUE"""),"SITIO ASIGNADO")</f>
        <v>SITIO ASIGNADO</v>
      </c>
      <c r="F1523" s="19"/>
      <c r="G1523" s="19" t="str">
        <f>IFERROR(__xludf.DUMMYFUNCTION("""COMPUTED_VALUE"""),"CV36")</f>
        <v>CV36</v>
      </c>
      <c r="H1523" s="19" t="str">
        <f>IFERROR(__xludf.DUMMYFUNCTION("""COMPUTED_VALUE"""),"INGENIUS")</f>
        <v>INGENIUS</v>
      </c>
      <c r="I1523" s="19" t="str">
        <f>IFERROR(__xludf.DUMMYFUNCTION("""COMPUTED_VALUE"""),"Terminada")</f>
        <v>Terminada</v>
      </c>
      <c r="J1523" s="20">
        <f>IFERROR(__xludf.DUMMYFUNCTION("""COMPUTED_VALUE"""),45041.0)</f>
        <v>45041</v>
      </c>
      <c r="K1523" s="19" t="str">
        <f>IFERROR(__xludf.DUMMYFUNCTION("""COMPUTED_VALUE"""),"Por pintar ")</f>
        <v>Por pintar </v>
      </c>
      <c r="L1523" s="20">
        <f>IFERROR(__xludf.DUMMYFUNCTION("""COMPUTED_VALUE"""),45124.0)</f>
        <v>45124</v>
      </c>
      <c r="M1523" s="19" t="str">
        <f>IFERROR(__xludf.DUMMYFUNCTION("""COMPUTED_VALUE"""),"PP")</f>
        <v>PP</v>
      </c>
      <c r="N1523" s="19" t="str">
        <f>IFERROR(__xludf.DUMMYFUNCTION("""COMPUTED_VALUE"""),"PRIORIDAD 2 Q4 2023 DICIEMBRE")</f>
        <v>PRIORIDAD 2 Q4 2023 DICIEMBRE</v>
      </c>
    </row>
    <row r="1524" ht="15.75" customHeight="1">
      <c r="A1524" s="19" t="str">
        <f>IFERROR(__xludf.DUMMYFUNCTION("""COMPUTED_VALUE"""),"AB_9464")</f>
        <v>AB_9464</v>
      </c>
      <c r="B1524" s="19" t="str">
        <f>IFERROR(__xludf.DUMMYFUNCTION("""COMPUTED_VALUE"""),"AB_9464_B")</f>
        <v>AB_9464_B</v>
      </c>
      <c r="C1524" s="19" t="str">
        <f>IFERROR(__xludf.DUMMYFUNCTION("""COMPUTED_VALUE"""),"AP9464")</f>
        <v>AP9464</v>
      </c>
      <c r="D1524" s="19" t="str">
        <f>IFERROR(__xludf.DUMMYFUNCTION("""COMPUTED_VALUE"""),"Ofragia")</f>
        <v>Ofragia</v>
      </c>
      <c r="E1524" s="19" t="str">
        <f>IFERROR(__xludf.DUMMYFUNCTION("""COMPUTED_VALUE"""),"SITIO PENDIENTE")</f>
        <v>SITIO PENDIENTE</v>
      </c>
      <c r="F1524" s="19"/>
      <c r="G1524" s="19" t="str">
        <f>IFERROR(__xludf.DUMMYFUNCTION("""COMPUTED_VALUE"""),"CV36")</f>
        <v>CV36</v>
      </c>
      <c r="H1524" s="19" t="str">
        <f>IFERROR(__xludf.DUMMYFUNCTION("""COMPUTED_VALUE"""),"INCOSERV")</f>
        <v>INCOSERV</v>
      </c>
      <c r="I1524" s="19" t="str">
        <f>IFERROR(__xludf.DUMMYFUNCTION("""COMPUTED_VALUE"""),"Terminada")</f>
        <v>Terminada</v>
      </c>
      <c r="J1524" s="20">
        <f>IFERROR(__xludf.DUMMYFUNCTION("""COMPUTED_VALUE"""),45034.0)</f>
        <v>45034</v>
      </c>
      <c r="K1524" s="19" t="str">
        <f>IFERROR(__xludf.DUMMYFUNCTION("""COMPUTED_VALUE"""),"Por pintar ")</f>
        <v>Por pintar </v>
      </c>
      <c r="L1524" s="20">
        <f>IFERROR(__xludf.DUMMYFUNCTION("""COMPUTED_VALUE"""),45100.0)</f>
        <v>45100</v>
      </c>
      <c r="M1524" s="19" t="str">
        <f>IFERROR(__xludf.DUMMYFUNCTION("""COMPUTED_VALUE"""),"PP")</f>
        <v>PP</v>
      </c>
      <c r="N1524" s="19" t="str">
        <f>IFERROR(__xludf.DUMMYFUNCTION("""COMPUTED_VALUE"""),"PRIORIDAD 2 Q4 2023 DICIEMBRE")</f>
        <v>PRIORIDAD 2 Q4 2023 DICIEMBRE</v>
      </c>
    </row>
    <row r="1525" ht="15.75" customHeight="1">
      <c r="A1525" s="19" t="str">
        <f>IFERROR(__xludf.DUMMYFUNCTION("""COMPUTED_VALUE"""),"AB_9465")</f>
        <v>AB_9465</v>
      </c>
      <c r="B1525" s="19" t="str">
        <f>IFERROR(__xludf.DUMMYFUNCTION("""COMPUTED_VALUE"""),"AB_9465_A")</f>
        <v>AB_9465_A</v>
      </c>
      <c r="C1525" s="19" t="str">
        <f>IFERROR(__xludf.DUMMYFUNCTION("""COMPUTED_VALUE"""),"AP9465")</f>
        <v>AP9465</v>
      </c>
      <c r="D1525" s="19" t="str">
        <f>IFERROR(__xludf.DUMMYFUNCTION("""COMPUTED_VALUE"""),"Ruta A-35 Cruce Umirpa")</f>
        <v>Ruta A-35 Cruce Umirpa</v>
      </c>
      <c r="E1525" s="19" t="str">
        <f>IFERROR(__xludf.DUMMYFUNCTION("""COMPUTED_VALUE"""),"DETENIDO COMPRA ESTRUCTURA")</f>
        <v>DETENIDO COMPRA ESTRUCTURA</v>
      </c>
      <c r="F1525" s="19" t="str">
        <f>IFERROR(__xludf.DUMMYFUNCTION("""COMPUTED_VALUE"""),"EXCAVACION")</f>
        <v>EXCAVACION</v>
      </c>
      <c r="G1525" s="19" t="str">
        <f>IFERROR(__xludf.DUMMYFUNCTION("""COMPUTED_VALUE"""),"AS60")</f>
        <v>AS60</v>
      </c>
      <c r="H1525" s="19" t="str">
        <f>IFERROR(__xludf.DUMMYFUNCTION("""COMPUTED_VALUE"""),"COMPRAS")</f>
        <v>COMPRAS</v>
      </c>
      <c r="I1525" s="19"/>
      <c r="J1525" s="20"/>
      <c r="K1525" s="19"/>
      <c r="L1525" s="20"/>
      <c r="M1525" s="19" t="str">
        <f>IFERROR(__xludf.DUMMYFUNCTION("""COMPUTED_VALUE"""),"PP")</f>
        <v>PP</v>
      </c>
      <c r="N1525" s="19" t="str">
        <f>IFERROR(__xludf.DUMMYFUNCTION("""COMPUTED_VALUE"""),"PRIORIDAD 2 Q4 2023 DICIEMBRE")</f>
        <v>PRIORIDAD 2 Q4 2023 DICIEMBRE</v>
      </c>
    </row>
    <row r="1526" ht="15.75" customHeight="1">
      <c r="A1526" s="19" t="str">
        <f>IFERROR(__xludf.DUMMYFUNCTION("""COMPUTED_VALUE"""),"AB_9467")</f>
        <v>AB_9467</v>
      </c>
      <c r="B1526" s="19" t="str">
        <f>IFERROR(__xludf.DUMMYFUNCTION("""COMPUTED_VALUE"""),"AB_9467_A")</f>
        <v>AB_9467_A</v>
      </c>
      <c r="C1526" s="19" t="str">
        <f>IFERROR(__xludf.DUMMYFUNCTION("""COMPUTED_VALUE"""),"AP9467")</f>
        <v>AP9467</v>
      </c>
      <c r="D1526" s="19" t="str">
        <f>IFERROR(__xludf.DUMMYFUNCTION("""COMPUTED_VALUE"""),"Ruta A-35 Timar")</f>
        <v>Ruta A-35 Timar</v>
      </c>
      <c r="E1526" s="19" t="str">
        <f>IFERROR(__xludf.DUMMYFUNCTION("""COMPUTED_VALUE"""),"SITIO ASIGNADO")</f>
        <v>SITIO ASIGNADO</v>
      </c>
      <c r="F1526" s="19"/>
      <c r="G1526" s="19" t="str">
        <f>IFERROR(__xludf.DUMMYFUNCTION("""COMPUTED_VALUE"""),"CV60")</f>
        <v>CV60</v>
      </c>
      <c r="H1526" s="19" t="str">
        <f>IFERROR(__xludf.DUMMYFUNCTION("""COMPUTED_VALUE"""),"DEPROMET")</f>
        <v>DEPROMET</v>
      </c>
      <c r="I1526" s="19" t="str">
        <f>IFERROR(__xludf.DUMMYFUNCTION("""COMPUTED_VALUE"""),"Terminada")</f>
        <v>Terminada</v>
      </c>
      <c r="J1526" s="20">
        <f>IFERROR(__xludf.DUMMYFUNCTION("""COMPUTED_VALUE"""),45001.0)</f>
        <v>45001</v>
      </c>
      <c r="K1526" s="19" t="str">
        <f>IFERROR(__xludf.DUMMYFUNCTION("""COMPUTED_VALUE"""),"Por pintar ")</f>
        <v>Por pintar </v>
      </c>
      <c r="L1526" s="20">
        <f>IFERROR(__xludf.DUMMYFUNCTION("""COMPUTED_VALUE"""),45027.0)</f>
        <v>45027</v>
      </c>
      <c r="M1526" s="19" t="str">
        <f>IFERROR(__xludf.DUMMYFUNCTION("""COMPUTED_VALUE"""),"PP")</f>
        <v>PP</v>
      </c>
      <c r="N1526" s="19" t="str">
        <f>IFERROR(__xludf.DUMMYFUNCTION("""COMPUTED_VALUE"""),"PRIORIDAD 2 Q4 2023 DICIEMBRE")</f>
        <v>PRIORIDAD 2 Q4 2023 DICIEMBRE</v>
      </c>
    </row>
    <row r="1527" ht="15.75" customHeight="1">
      <c r="A1527" s="19" t="str">
        <f>IFERROR(__xludf.DUMMYFUNCTION("""COMPUTED_VALUE"""),"AB_0340")</f>
        <v>AB_0340</v>
      </c>
      <c r="B1527" s="19" t="str">
        <f>IFERROR(__xludf.DUMMYFUNCTION("""COMPUTED_VALUE"""),"AB_0340_D")</f>
        <v>AB_0340_D</v>
      </c>
      <c r="C1527" s="19" t="str">
        <f>IFERROR(__xludf.DUMMYFUNCTION("""COMPUTED_VALUE"""),"VA0340")</f>
        <v>VA0340</v>
      </c>
      <c r="D1527" s="19" t="str">
        <f>IFERROR(__xludf.DUMMYFUNCTION("""COMPUTED_VALUE"""),"Rio Colorado")</f>
        <v>Rio Colorado</v>
      </c>
      <c r="E1527" s="19" t="str">
        <f>IFERROR(__xludf.DUMMYFUNCTION("""COMPUTED_VALUE"""),"SITIO CONSTRUIDO")</f>
        <v>SITIO CONSTRUIDO</v>
      </c>
      <c r="F1527" s="19" t="str">
        <f>IFERROR(__xludf.DUMMYFUNCTION("""COMPUTED_VALUE"""),"EXCAVACION")</f>
        <v>EXCAVACION</v>
      </c>
      <c r="G1527" s="19" t="str">
        <f>IFERROR(__xludf.DUMMYFUNCTION("""COMPUTED_VALUE"""),"CV42")</f>
        <v>CV42</v>
      </c>
      <c r="H1527" s="19" t="str">
        <f>IFERROR(__xludf.DUMMYFUNCTION("""COMPUTED_VALUE"""),"DEPROMET")</f>
        <v>DEPROMET</v>
      </c>
      <c r="I1527" s="19" t="str">
        <f>IFERROR(__xludf.DUMMYFUNCTION("""COMPUTED_VALUE"""),"Entregada")</f>
        <v>Entregada</v>
      </c>
      <c r="J1527" s="20">
        <f>IFERROR(__xludf.DUMMYFUNCTION("""COMPUTED_VALUE"""),44764.0)</f>
        <v>44764</v>
      </c>
      <c r="K1527" s="19" t="str">
        <f>IFERROR(__xludf.DUMMYFUNCTION("""COMPUTED_VALUE"""),"Entregada")</f>
        <v>Entregada</v>
      </c>
      <c r="L1527" s="20">
        <f>IFERROR(__xludf.DUMMYFUNCTION("""COMPUTED_VALUE"""),44764.0)</f>
        <v>44764</v>
      </c>
      <c r="M1527" s="19" t="str">
        <f>IFERROR(__xludf.DUMMYFUNCTION("""COMPUTED_VALUE"""),"PCM")</f>
        <v>PCM</v>
      </c>
      <c r="N1527" s="19" t="str">
        <f>IFERROR(__xludf.DUMMYFUNCTION("""COMPUTED_VALUE"""),"PRIORIDAD 1 Q3 2023 OCTUBRE")</f>
        <v>PRIORIDAD 1 Q3 2023 OCTUBRE</v>
      </c>
    </row>
    <row r="1528" ht="15.75" customHeight="1">
      <c r="A1528" s="19" t="str">
        <f>IFERROR(__xludf.DUMMYFUNCTION("""COMPUTED_VALUE"""),"AB_0964")</f>
        <v>AB_0964</v>
      </c>
      <c r="B1528" s="19" t="str">
        <f>IFERROR(__xludf.DUMMYFUNCTION("""COMPUTED_VALUE"""),"AB_0964_C")</f>
        <v>AB_0964_C</v>
      </c>
      <c r="C1528" s="19" t="str">
        <f>IFERROR(__xludf.DUMMYFUNCTION("""COMPUTED_VALUE"""),"VA0964")</f>
        <v>VA0964</v>
      </c>
      <c r="D1528" s="19" t="str">
        <f>IFERROR(__xludf.DUMMYFUNCTION("""COMPUTED_VALUE"""),"Los Quilos")</f>
        <v>Los Quilos</v>
      </c>
      <c r="E1528" s="19" t="str">
        <f>IFERROR(__xludf.DUMMYFUNCTION("""COMPUTED_VALUE"""),"SITIO CONSTRUIDO")</f>
        <v>SITIO CONSTRUIDO</v>
      </c>
      <c r="F1528" s="19" t="str">
        <f>IFERROR(__xludf.DUMMYFUNCTION("""COMPUTED_VALUE"""),"VISITA")</f>
        <v>VISITA</v>
      </c>
      <c r="G1528" s="19" t="str">
        <f>IFERROR(__xludf.DUMMYFUNCTION("""COMPUTED_VALUE"""),"CV42")</f>
        <v>CV42</v>
      </c>
      <c r="H1528" s="19" t="str">
        <f>IFERROR(__xludf.DUMMYFUNCTION("""COMPUTED_VALUE"""),"AJ")</f>
        <v>AJ</v>
      </c>
      <c r="I1528" s="19" t="str">
        <f>IFERROR(__xludf.DUMMYFUNCTION("""COMPUTED_VALUE"""),"Entregada")</f>
        <v>Entregada</v>
      </c>
      <c r="J1528" s="20">
        <f>IFERROR(__xludf.DUMMYFUNCTION("""COMPUTED_VALUE"""),44819.0)</f>
        <v>44819</v>
      </c>
      <c r="K1528" s="19" t="str">
        <f>IFERROR(__xludf.DUMMYFUNCTION("""COMPUTED_VALUE"""),"Entregada")</f>
        <v>Entregada</v>
      </c>
      <c r="L1528" s="20">
        <f>IFERROR(__xludf.DUMMYFUNCTION("""COMPUTED_VALUE"""),44876.0)</f>
        <v>44876</v>
      </c>
      <c r="M1528" s="19" t="str">
        <f>IFERROR(__xludf.DUMMYFUNCTION("""COMPUTED_VALUE"""),"PCM")</f>
        <v>PCM</v>
      </c>
      <c r="N1528" s="19" t="str">
        <f>IFERROR(__xludf.DUMMYFUNCTION("""COMPUTED_VALUE"""),"PRIORIDAD 1 Q3 2023 OCTUBRE")</f>
        <v>PRIORIDAD 1 Q3 2023 OCTUBRE</v>
      </c>
    </row>
    <row r="1529" ht="15.75" customHeight="1">
      <c r="A1529" s="19" t="str">
        <f>IFERROR(__xludf.DUMMYFUNCTION("""COMPUTED_VALUE"""),"AB_2394")</f>
        <v>AB_2394</v>
      </c>
      <c r="B1529" s="19" t="str">
        <f>IFERROR(__xludf.DUMMYFUNCTION("""COMPUTED_VALUE"""),"AB_2394_B")</f>
        <v>AB_2394_B</v>
      </c>
      <c r="C1529" s="19" t="str">
        <f>IFERROR(__xludf.DUMMYFUNCTION("""COMPUTED_VALUE"""),"VA2394")</f>
        <v>VA2394</v>
      </c>
      <c r="D1529" s="19" t="str">
        <f>IFERROR(__xludf.DUMMYFUNCTION("""COMPUTED_VALUE"""),"Petorca")</f>
        <v>Petorca</v>
      </c>
      <c r="E1529" s="19" t="str">
        <f>IFERROR(__xludf.DUMMYFUNCTION("""COMPUTED_VALUE"""),"SITIO CONSTRUIDO")</f>
        <v>SITIO CONSTRUIDO</v>
      </c>
      <c r="F1529" s="19" t="str">
        <f>IFERROR(__xludf.DUMMYFUNCTION("""COMPUTED_VALUE"""),"VISITA")</f>
        <v>VISITA</v>
      </c>
      <c r="G1529" s="19" t="str">
        <f>IFERROR(__xludf.DUMMYFUNCTION("""COMPUTED_VALUE"""),"AS42")</f>
        <v>AS42</v>
      </c>
      <c r="H1529" s="19" t="str">
        <f>IFERROR(__xludf.DUMMYFUNCTION("""COMPUTED_VALUE"""),"MER")</f>
        <v>MER</v>
      </c>
      <c r="I1529" s="19" t="str">
        <f>IFERROR(__xludf.DUMMYFUNCTION("""COMPUTED_VALUE"""),"Terminada")</f>
        <v>Terminada</v>
      </c>
      <c r="J1529" s="20">
        <f>IFERROR(__xludf.DUMMYFUNCTION("""COMPUTED_VALUE"""),44722.0)</f>
        <v>44722</v>
      </c>
      <c r="K1529" s="19" t="str">
        <f>IFERROR(__xludf.DUMMYFUNCTION("""COMPUTED_VALUE"""),"Terminada")</f>
        <v>Terminada</v>
      </c>
      <c r="L1529" s="20">
        <f>IFERROR(__xludf.DUMMYFUNCTION("""COMPUTED_VALUE"""),44742.0)</f>
        <v>44742</v>
      </c>
      <c r="M1529" s="19" t="str">
        <f>IFERROR(__xludf.DUMMYFUNCTION("""COMPUTED_VALUE"""),"PCM")</f>
        <v>PCM</v>
      </c>
      <c r="N1529" s="19" t="str">
        <f>IFERROR(__xludf.DUMMYFUNCTION("""COMPUTED_VALUE"""),"PRIORIDAD 1 Q3 2023 OCTUBRE")</f>
        <v>PRIORIDAD 1 Q3 2023 OCTUBRE</v>
      </c>
    </row>
    <row r="1530" ht="15.75" customHeight="1">
      <c r="A1530" s="19" t="str">
        <f>IFERROR(__xludf.DUMMYFUNCTION("""COMPUTED_VALUE"""),"AB_9849")</f>
        <v>AB_9849</v>
      </c>
      <c r="B1530" s="19" t="str">
        <f>IFERROR(__xludf.DUMMYFUNCTION("""COMPUTED_VALUE"""),"AB_9849_C")</f>
        <v>AB_9849_C</v>
      </c>
      <c r="C1530" s="19" t="str">
        <f>IFERROR(__xludf.DUMMYFUNCTION("""COMPUTED_VALUE"""),"AY9849")</f>
        <v>AY9849</v>
      </c>
      <c r="D1530" s="19" t="str">
        <f>IFERROR(__xludf.DUMMYFUNCTION("""COMPUTED_VALUE"""),"LLOO Valle Simpson")</f>
        <v>LLOO Valle Simpson</v>
      </c>
      <c r="E1530" s="19" t="str">
        <f>IFERROR(__xludf.DUMMYFUNCTION("""COMPUTED_VALUE"""),"SITIO RFI")</f>
        <v>SITIO RFI</v>
      </c>
      <c r="F1530" s="19"/>
      <c r="G1530" s="19" t="str">
        <f>IFERROR(__xludf.DUMMYFUNCTION("""COMPUTED_VALUE"""),"x")</f>
        <v>x</v>
      </c>
      <c r="H1530" s="19" t="str">
        <f>IFERROR(__xludf.DUMMYFUNCTION("""COMPUTED_VALUE"""),"x")</f>
        <v>x</v>
      </c>
      <c r="I1530" s="19" t="str">
        <f>IFERROR(__xludf.DUMMYFUNCTION("""COMPUTED_VALUE"""),"x")</f>
        <v>x</v>
      </c>
      <c r="J1530" s="20" t="str">
        <f>IFERROR(__xludf.DUMMYFUNCTION("""COMPUTED_VALUE"""),"x")</f>
        <v>x</v>
      </c>
      <c r="K1530" s="19" t="str">
        <f>IFERROR(__xludf.DUMMYFUNCTION("""COMPUTED_VALUE"""),"x")</f>
        <v>x</v>
      </c>
      <c r="L1530" s="20" t="str">
        <f>IFERROR(__xludf.DUMMYFUNCTION("""COMPUTED_VALUE"""),"x")</f>
        <v>x</v>
      </c>
      <c r="M1530" s="19" t="str">
        <f>IFERROR(__xludf.DUMMYFUNCTION("""COMPUTED_VALUE"""),"LLOO")</f>
        <v>LLOO</v>
      </c>
      <c r="N1530" s="19" t="str">
        <f>IFERROR(__xludf.DUMMYFUNCTION("""COMPUTED_VALUE"""),"PRIORIDAD 3 Q1 2024 MARZO")</f>
        <v>PRIORIDAD 3 Q1 2024 MARZO</v>
      </c>
    </row>
    <row r="1531" ht="15.75" customHeight="1">
      <c r="A1531" s="19" t="str">
        <f>IFERROR(__xludf.DUMMYFUNCTION("""COMPUTED_VALUE"""),"AB_11211")</f>
        <v>AB_11211</v>
      </c>
      <c r="B1531" s="19" t="str">
        <f>IFERROR(__xludf.DUMMYFUNCTION("""COMPUTED_VALUE"""),"AB_11211_A")</f>
        <v>AB_11211_A</v>
      </c>
      <c r="C1531" s="19" t="str">
        <f>IFERROR(__xludf.DUMMYFUNCTION("""COMPUTED_VALUE"""),"AN11211")</f>
        <v>AN11211</v>
      </c>
      <c r="D1531" s="19" t="str">
        <f>IFERROR(__xludf.DUMMYFUNCTION("""COMPUTED_VALUE"""),"Tocopilla Sur RU")</f>
        <v>Tocopilla Sur RU</v>
      </c>
      <c r="E1531" s="19" t="str">
        <f>IFERROR(__xludf.DUMMYFUNCTION("""COMPUTED_VALUE"""),"SITIO RFI")</f>
        <v>SITIO RFI</v>
      </c>
      <c r="F1531" s="19"/>
      <c r="G1531" s="19" t="str">
        <f>IFERROR(__xludf.DUMMYFUNCTION("""COMPUTED_VALUE"""),"x")</f>
        <v>x</v>
      </c>
      <c r="H1531" s="19" t="str">
        <f>IFERROR(__xludf.DUMMYFUNCTION("""COMPUTED_VALUE"""),"x")</f>
        <v>x</v>
      </c>
      <c r="I1531" s="19" t="str">
        <f>IFERROR(__xludf.DUMMYFUNCTION("""COMPUTED_VALUE"""),"x")</f>
        <v>x</v>
      </c>
      <c r="J1531" s="20" t="str">
        <f>IFERROR(__xludf.DUMMYFUNCTION("""COMPUTED_VALUE"""),"x")</f>
        <v>x</v>
      </c>
      <c r="K1531" s="19" t="str">
        <f>IFERROR(__xludf.DUMMYFUNCTION("""COMPUTED_VALUE"""),"x")</f>
        <v>x</v>
      </c>
      <c r="L1531" s="20" t="str">
        <f>IFERROR(__xludf.DUMMYFUNCTION("""COMPUTED_VALUE"""),"x")</f>
        <v>x</v>
      </c>
      <c r="M1531" s="19" t="str">
        <f>IFERROR(__xludf.DUMMYFUNCTION("""COMPUTED_VALUE"""),"PCM_4")</f>
        <v>PCM_4</v>
      </c>
      <c r="N1531" s="19" t="str">
        <f>IFERROR(__xludf.DUMMYFUNCTION("""COMPUTED_VALUE"""),"PRIORIDAD 3 Q1 2024 MARZO")</f>
        <v>PRIORIDAD 3 Q1 2024 MARZO</v>
      </c>
    </row>
    <row r="1532" ht="15.75" customHeight="1">
      <c r="A1532" s="19" t="str">
        <f>IFERROR(__xludf.DUMMYFUNCTION("""COMPUTED_VALUE"""),"AB_1628")</f>
        <v>AB_1628</v>
      </c>
      <c r="B1532" s="19" t="str">
        <f>IFERROR(__xludf.DUMMYFUNCTION("""COMPUTED_VALUE"""),"AB_1628_B")</f>
        <v>AB_1628_B</v>
      </c>
      <c r="C1532" s="19" t="str">
        <f>IFERROR(__xludf.DUMMYFUNCTION("""COMPUTED_VALUE"""),"AN1628")</f>
        <v>AN1628</v>
      </c>
      <c r="D1532" s="19" t="str">
        <f>IFERROR(__xludf.DUMMYFUNCTION("""COMPUTED_VALUE"""),"Maria Elena Centro SQM")</f>
        <v>Maria Elena Centro SQM</v>
      </c>
      <c r="E1532" s="19" t="str">
        <f>IFERROR(__xludf.DUMMYFUNCTION("""COMPUTED_VALUE"""),"SITIO RFI")</f>
        <v>SITIO RFI</v>
      </c>
      <c r="F1532" s="19"/>
      <c r="G1532" s="19" t="str">
        <f>IFERROR(__xludf.DUMMYFUNCTION("""COMPUTED_VALUE"""),"x")</f>
        <v>x</v>
      </c>
      <c r="H1532" s="19" t="str">
        <f>IFERROR(__xludf.DUMMYFUNCTION("""COMPUTED_VALUE"""),"x")</f>
        <v>x</v>
      </c>
      <c r="I1532" s="19" t="str">
        <f>IFERROR(__xludf.DUMMYFUNCTION("""COMPUTED_VALUE"""),"x")</f>
        <v>x</v>
      </c>
      <c r="J1532" s="20" t="str">
        <f>IFERROR(__xludf.DUMMYFUNCTION("""COMPUTED_VALUE"""),"x")</f>
        <v>x</v>
      </c>
      <c r="K1532" s="19" t="str">
        <f>IFERROR(__xludf.DUMMYFUNCTION("""COMPUTED_VALUE"""),"x")</f>
        <v>x</v>
      </c>
      <c r="L1532" s="20" t="str">
        <f>IFERROR(__xludf.DUMMYFUNCTION("""COMPUTED_VALUE"""),"x")</f>
        <v>x</v>
      </c>
      <c r="M1532" s="19" t="str">
        <f>IFERROR(__xludf.DUMMYFUNCTION("""COMPUTED_VALUE"""),"PCM")</f>
        <v>PCM</v>
      </c>
      <c r="N1532" s="19" t="str">
        <f>IFERROR(__xludf.DUMMYFUNCTION("""COMPUTED_VALUE"""),"PRIORIDAD 1 Q3 2023 OCTUBRE")</f>
        <v>PRIORIDAD 1 Q3 2023 OCTUBRE</v>
      </c>
    </row>
    <row r="1533" ht="15.75" customHeight="1">
      <c r="A1533" s="19" t="str">
        <f>IFERROR(__xludf.DUMMYFUNCTION("""COMPUTED_VALUE"""),"AB_2612")</f>
        <v>AB_2612</v>
      </c>
      <c r="B1533" s="19" t="str">
        <f>IFERROR(__xludf.DUMMYFUNCTION("""COMPUTED_VALUE"""),"AB_2612_E")</f>
        <v>AB_2612_E</v>
      </c>
      <c r="C1533" s="19" t="str">
        <f>IFERROR(__xludf.DUMMYFUNCTION("""COMPUTED_VALUE"""),"AN2612")</f>
        <v>AN2612</v>
      </c>
      <c r="D1533" s="19" t="str">
        <f>IFERROR(__xludf.DUMMYFUNCTION("""COMPUTED_VALUE"""),"TalTal Poniente")</f>
        <v>TalTal Poniente</v>
      </c>
      <c r="E1533" s="19" t="str">
        <f>IFERROR(__xludf.DUMMYFUNCTION("""COMPUTED_VALUE"""),"SITIO RFI")</f>
        <v>SITIO RFI</v>
      </c>
      <c r="F1533" s="19"/>
      <c r="G1533" s="19" t="str">
        <f>IFERROR(__xludf.DUMMYFUNCTION("""COMPUTED_VALUE"""),"x")</f>
        <v>x</v>
      </c>
      <c r="H1533" s="19" t="str">
        <f>IFERROR(__xludf.DUMMYFUNCTION("""COMPUTED_VALUE"""),"x")</f>
        <v>x</v>
      </c>
      <c r="I1533" s="19" t="str">
        <f>IFERROR(__xludf.DUMMYFUNCTION("""COMPUTED_VALUE"""),"x")</f>
        <v>x</v>
      </c>
      <c r="J1533" s="20" t="str">
        <f>IFERROR(__xludf.DUMMYFUNCTION("""COMPUTED_VALUE"""),"x")</f>
        <v>x</v>
      </c>
      <c r="K1533" s="19" t="str">
        <f>IFERROR(__xludf.DUMMYFUNCTION("""COMPUTED_VALUE"""),"x")</f>
        <v>x</v>
      </c>
      <c r="L1533" s="20" t="str">
        <f>IFERROR(__xludf.DUMMYFUNCTION("""COMPUTED_VALUE"""),"x")</f>
        <v>x</v>
      </c>
      <c r="M1533" s="19" t="str">
        <f>IFERROR(__xludf.DUMMYFUNCTION("""COMPUTED_VALUE"""),"PCM")</f>
        <v>PCM</v>
      </c>
      <c r="N1533" s="19" t="str">
        <f>IFERROR(__xludf.DUMMYFUNCTION("""COMPUTED_VALUE"""),"PRIORIDAD 1 Q3 2023 OCTUBRE")</f>
        <v>PRIORIDAD 1 Q3 2023 OCTUBRE</v>
      </c>
    </row>
    <row r="1534" ht="15.75" customHeight="1">
      <c r="A1534" s="19" t="str">
        <f>IFERROR(__xludf.DUMMYFUNCTION("""COMPUTED_VALUE"""),"AB_6480")</f>
        <v>AB_6480</v>
      </c>
      <c r="B1534" s="19" t="str">
        <f>IFERROR(__xludf.DUMMYFUNCTION("""COMPUTED_VALUE"""),"AB_6480_C")</f>
        <v>AB_6480_C</v>
      </c>
      <c r="C1534" s="19" t="str">
        <f>IFERROR(__xludf.DUMMYFUNCTION("""COMPUTED_VALUE"""),"AN6480")</f>
        <v>AN6480</v>
      </c>
      <c r="D1534" s="19" t="str">
        <f>IFERROR(__xludf.DUMMYFUNCTION("""COMPUTED_VALUE"""),"Pampa Union")</f>
        <v>Pampa Union</v>
      </c>
      <c r="E1534" s="19" t="str">
        <f>IFERROR(__xludf.DUMMYFUNCTION("""COMPUTED_VALUE"""),"SITIO RFI")</f>
        <v>SITIO RFI</v>
      </c>
      <c r="F1534" s="19"/>
      <c r="G1534" s="19" t="str">
        <f>IFERROR(__xludf.DUMMYFUNCTION("""COMPUTED_VALUE"""),"x")</f>
        <v>x</v>
      </c>
      <c r="H1534" s="19" t="str">
        <f>IFERROR(__xludf.DUMMYFUNCTION("""COMPUTED_VALUE"""),"x")</f>
        <v>x</v>
      </c>
      <c r="I1534" s="19" t="str">
        <f>IFERROR(__xludf.DUMMYFUNCTION("""COMPUTED_VALUE"""),"x")</f>
        <v>x</v>
      </c>
      <c r="J1534" s="20" t="str">
        <f>IFERROR(__xludf.DUMMYFUNCTION("""COMPUTED_VALUE"""),"x")</f>
        <v>x</v>
      </c>
      <c r="K1534" s="19" t="str">
        <f>IFERROR(__xludf.DUMMYFUNCTION("""COMPUTED_VALUE"""),"x")</f>
        <v>x</v>
      </c>
      <c r="L1534" s="20" t="str">
        <f>IFERROR(__xludf.DUMMYFUNCTION("""COMPUTED_VALUE"""),"x")</f>
        <v>x</v>
      </c>
      <c r="M1534" s="19" t="str">
        <f>IFERROR(__xludf.DUMMYFUNCTION("""COMPUTED_VALUE"""),"PCM")</f>
        <v>PCM</v>
      </c>
      <c r="N1534" s="19" t="str">
        <f>IFERROR(__xludf.DUMMYFUNCTION("""COMPUTED_VALUE"""),"PRIORIDAD 1 Q3 2023 OCTUBRE")</f>
        <v>PRIORIDAD 1 Q3 2023 OCTUBRE</v>
      </c>
    </row>
    <row r="1535" ht="15.75" customHeight="1">
      <c r="A1535" s="19" t="str">
        <f>IFERROR(__xludf.DUMMYFUNCTION("""COMPUTED_VALUE"""),"AB_9100")</f>
        <v>AB_9100</v>
      </c>
      <c r="B1535" s="19" t="str">
        <f>IFERROR(__xludf.DUMMYFUNCTION("""COMPUTED_VALUE"""),"AB_9100_C")</f>
        <v>AB_9100_C</v>
      </c>
      <c r="C1535" s="19" t="str">
        <f>IFERROR(__xludf.DUMMYFUNCTION("""COMPUTED_VALUE"""),"AN9100")</f>
        <v>AN9100</v>
      </c>
      <c r="D1535" s="19" t="str">
        <f>IFERROR(__xludf.DUMMYFUNCTION("""COMPUTED_VALUE"""),"Taltal Cementerio")</f>
        <v>Taltal Cementerio</v>
      </c>
      <c r="E1535" s="19" t="str">
        <f>IFERROR(__xludf.DUMMYFUNCTION("""COMPUTED_VALUE"""),"SITIO RFI")</f>
        <v>SITIO RFI</v>
      </c>
      <c r="F1535" s="19"/>
      <c r="G1535" s="19" t="str">
        <f>IFERROR(__xludf.DUMMYFUNCTION("""COMPUTED_VALUE"""),"x")</f>
        <v>x</v>
      </c>
      <c r="H1535" s="19" t="str">
        <f>IFERROR(__xludf.DUMMYFUNCTION("""COMPUTED_VALUE"""),"x")</f>
        <v>x</v>
      </c>
      <c r="I1535" s="19" t="str">
        <f>IFERROR(__xludf.DUMMYFUNCTION("""COMPUTED_VALUE"""),"x")</f>
        <v>x</v>
      </c>
      <c r="J1535" s="20" t="str">
        <f>IFERROR(__xludf.DUMMYFUNCTION("""COMPUTED_VALUE"""),"x")</f>
        <v>x</v>
      </c>
      <c r="K1535" s="19" t="str">
        <f>IFERROR(__xludf.DUMMYFUNCTION("""COMPUTED_VALUE"""),"x")</f>
        <v>x</v>
      </c>
      <c r="L1535" s="20" t="str">
        <f>IFERROR(__xludf.DUMMYFUNCTION("""COMPUTED_VALUE"""),"x")</f>
        <v>x</v>
      </c>
      <c r="M1535" s="19" t="str">
        <f>IFERROR(__xludf.DUMMYFUNCTION("""COMPUTED_VALUE"""),"PCM")</f>
        <v>PCM</v>
      </c>
      <c r="N1535" s="19" t="str">
        <f>IFERROR(__xludf.DUMMYFUNCTION("""COMPUTED_VALUE"""),"PRIORIDAD 1 Q3 2023 OCTUBRE")</f>
        <v>PRIORIDAD 1 Q3 2023 OCTUBRE</v>
      </c>
    </row>
    <row r="1536" ht="15.75" customHeight="1">
      <c r="A1536" s="19" t="str">
        <f>IFERROR(__xludf.DUMMYFUNCTION("""COMPUTED_VALUE"""),"AB_10320")</f>
        <v>AB_10320</v>
      </c>
      <c r="B1536" s="19" t="str">
        <f>IFERROR(__xludf.DUMMYFUNCTION("""COMPUTED_VALUE"""),"AB_10320_D")</f>
        <v>AB_10320_D</v>
      </c>
      <c r="C1536" s="19" t="str">
        <f>IFERROR(__xludf.DUMMYFUNCTION("""COMPUTED_VALUE"""),"AR10320")</f>
        <v>AR10320</v>
      </c>
      <c r="D1536" s="19" t="str">
        <f>IFERROR(__xludf.DUMMYFUNCTION("""COMPUTED_VALUE"""),"Hospital Lautaro")</f>
        <v>Hospital Lautaro</v>
      </c>
      <c r="E1536" s="19" t="str">
        <f>IFERROR(__xludf.DUMMYFUNCTION("""COMPUTED_VALUE"""),"SITIO RFI")</f>
        <v>SITIO RFI</v>
      </c>
      <c r="F1536" s="19" t="str">
        <f>IFERROR(__xludf.DUMMYFUNCTION("""COMPUTED_VALUE"""),"RFI")</f>
        <v>RFI</v>
      </c>
      <c r="G1536" s="19" t="str">
        <f>IFERROR(__xludf.DUMMYFUNCTION("""COMPUTED_VALUE"""),"AZOTEA")</f>
        <v>AZOTEA</v>
      </c>
      <c r="H1536" s="19" t="str">
        <f>IFERROR(__xludf.DUMMYFUNCTION("""COMPUTED_VALUE"""),"x")</f>
        <v>x</v>
      </c>
      <c r="I1536" s="19" t="str">
        <f>IFERROR(__xludf.DUMMYFUNCTION("""COMPUTED_VALUE"""),"x")</f>
        <v>x</v>
      </c>
      <c r="J1536" s="20" t="str">
        <f>IFERROR(__xludf.DUMMYFUNCTION("""COMPUTED_VALUE"""),"x")</f>
        <v>x</v>
      </c>
      <c r="K1536" s="19" t="str">
        <f>IFERROR(__xludf.DUMMYFUNCTION("""COMPUTED_VALUE"""),"x")</f>
        <v>x</v>
      </c>
      <c r="L1536" s="20" t="str">
        <f>IFERROR(__xludf.DUMMYFUNCTION("""COMPUTED_VALUE"""),"x")</f>
        <v>x</v>
      </c>
      <c r="M1536" s="19" t="str">
        <f>IFERROR(__xludf.DUMMYFUNCTION("""COMPUTED_VALUE"""),"PCM")</f>
        <v>PCM</v>
      </c>
      <c r="N1536" s="19" t="str">
        <f>IFERROR(__xludf.DUMMYFUNCTION("""COMPUTED_VALUE"""),"PRIORIDAD 3 Q1 2024 MARZO")</f>
        <v>PRIORIDAD 3 Q1 2024 MARZO</v>
      </c>
    </row>
    <row r="1537" ht="15.75" customHeight="1">
      <c r="A1537" s="19" t="str">
        <f>IFERROR(__xludf.DUMMYFUNCTION("""COMPUTED_VALUE"""),"AB_11154")</f>
        <v>AB_11154</v>
      </c>
      <c r="B1537" s="19" t="str">
        <f>IFERROR(__xludf.DUMMYFUNCTION("""COMPUTED_VALUE"""),"AB_11154_B")</f>
        <v>AB_11154_B</v>
      </c>
      <c r="C1537" s="19" t="str">
        <f>IFERROR(__xludf.DUMMYFUNCTION("""COMPUTED_VALUE"""),"AR11154")</f>
        <v>AR11154</v>
      </c>
      <c r="D1537" s="19" t="str">
        <f>IFERROR(__xludf.DUMMYFUNCTION("""COMPUTED_VALUE"""),"Universidad Católica de Temuco - JPII")</f>
        <v>Universidad Católica de Temuco - JPII</v>
      </c>
      <c r="E1537" s="19" t="str">
        <f>IFERROR(__xludf.DUMMYFUNCTION("""COMPUTED_VALUE"""),"SITIO RFI")</f>
        <v>SITIO RFI</v>
      </c>
      <c r="F1537" s="19"/>
      <c r="G1537" s="19" t="str">
        <f>IFERROR(__xludf.DUMMYFUNCTION("""COMPUTED_VALUE"""),"x")</f>
        <v>x</v>
      </c>
      <c r="H1537" s="19" t="str">
        <f>IFERROR(__xludf.DUMMYFUNCTION("""COMPUTED_VALUE"""),"x")</f>
        <v>x</v>
      </c>
      <c r="I1537" s="19" t="str">
        <f>IFERROR(__xludf.DUMMYFUNCTION("""COMPUTED_VALUE"""),"x")</f>
        <v>x</v>
      </c>
      <c r="J1537" s="20" t="str">
        <f>IFERROR(__xludf.DUMMYFUNCTION("""COMPUTED_VALUE"""),"x")</f>
        <v>x</v>
      </c>
      <c r="K1537" s="19" t="str">
        <f>IFERROR(__xludf.DUMMYFUNCTION("""COMPUTED_VALUE"""),"x")</f>
        <v>x</v>
      </c>
      <c r="L1537" s="20" t="str">
        <f>IFERROR(__xludf.DUMMYFUNCTION("""COMPUTED_VALUE"""),"x")</f>
        <v>x</v>
      </c>
      <c r="M1537" s="19" t="str">
        <f>IFERROR(__xludf.DUMMYFUNCTION("""COMPUTED_VALUE"""),"PCM_4")</f>
        <v>PCM_4</v>
      </c>
      <c r="N1537" s="19" t="str">
        <f>IFERROR(__xludf.DUMMYFUNCTION("""COMPUTED_VALUE"""),"PRIORIDAD 3 Q1 2024 MARZO")</f>
        <v>PRIORIDAD 3 Q1 2024 MARZO</v>
      </c>
    </row>
    <row r="1538" ht="15.75" customHeight="1">
      <c r="A1538" s="19" t="str">
        <f>IFERROR(__xludf.DUMMYFUNCTION("""COMPUTED_VALUE"""),"AB_10211")</f>
        <v>AB_10211</v>
      </c>
      <c r="B1538" s="19" t="str">
        <f>IFERROR(__xludf.DUMMYFUNCTION("""COMPUTED_VALUE"""),"AB_10211_C")</f>
        <v>AB_10211_C</v>
      </c>
      <c r="C1538" s="19" t="str">
        <f>IFERROR(__xludf.DUMMYFUNCTION("""COMPUTED_VALUE"""),"AT10211")</f>
        <v>AT10211</v>
      </c>
      <c r="D1538" s="19" t="str">
        <f>IFERROR(__xludf.DUMMYFUNCTION("""COMPUTED_VALUE"""),"Puerto de Caldera")</f>
        <v>Puerto de Caldera</v>
      </c>
      <c r="E1538" s="19" t="str">
        <f>IFERROR(__xludf.DUMMYFUNCTION("""COMPUTED_VALUE"""),"SITIO RFI")</f>
        <v>SITIO RFI</v>
      </c>
      <c r="F1538" s="19"/>
      <c r="G1538" s="19" t="str">
        <f>IFERROR(__xludf.DUMMYFUNCTION("""COMPUTED_VALUE"""),"x")</f>
        <v>x</v>
      </c>
      <c r="H1538" s="19" t="str">
        <f>IFERROR(__xludf.DUMMYFUNCTION("""COMPUTED_VALUE"""),"x")</f>
        <v>x</v>
      </c>
      <c r="I1538" s="19" t="str">
        <f>IFERROR(__xludf.DUMMYFUNCTION("""COMPUTED_VALUE"""),"x")</f>
        <v>x</v>
      </c>
      <c r="J1538" s="20" t="str">
        <f>IFERROR(__xludf.DUMMYFUNCTION("""COMPUTED_VALUE"""),"x")</f>
        <v>x</v>
      </c>
      <c r="K1538" s="19" t="str">
        <f>IFERROR(__xludf.DUMMYFUNCTION("""COMPUTED_VALUE"""),"x")</f>
        <v>x</v>
      </c>
      <c r="L1538" s="20" t="str">
        <f>IFERROR(__xludf.DUMMYFUNCTION("""COMPUTED_VALUE"""),"x")</f>
        <v>x</v>
      </c>
      <c r="M1538" s="19" t="str">
        <f>IFERROR(__xludf.DUMMYFUNCTION("""COMPUTED_VALUE"""),"PP")</f>
        <v>PP</v>
      </c>
      <c r="N1538" s="19" t="str">
        <f>IFERROR(__xludf.DUMMYFUNCTION("""COMPUTED_VALUE"""),"PRIORIDAD 1 Q3 2023 OCTUBRE")</f>
        <v>PRIORIDAD 1 Q3 2023 OCTUBRE</v>
      </c>
    </row>
    <row r="1539" ht="15.75" customHeight="1">
      <c r="A1539" s="19" t="str">
        <f>IFERROR(__xludf.DUMMYFUNCTION("""COMPUTED_VALUE"""),"AB_1816")</f>
        <v>AB_1816</v>
      </c>
      <c r="B1539" s="19" t="str">
        <f>IFERROR(__xludf.DUMMYFUNCTION("""COMPUTED_VALUE"""),"AB_1816_E")</f>
        <v>AB_1816_E</v>
      </c>
      <c r="C1539" s="19" t="str">
        <f>IFERROR(__xludf.DUMMYFUNCTION("""COMPUTED_VALUE"""),"AT1816")</f>
        <v>AT1816</v>
      </c>
      <c r="D1539" s="19" t="str">
        <f>IFERROR(__xludf.DUMMYFUNCTION("""COMPUTED_VALUE"""),"Barquito Chañaral")</f>
        <v>Barquito Chañaral</v>
      </c>
      <c r="E1539" s="19" t="str">
        <f>IFERROR(__xludf.DUMMYFUNCTION("""COMPUTED_VALUE"""),"SITIO RFI")</f>
        <v>SITIO RFI</v>
      </c>
      <c r="F1539" s="19"/>
      <c r="G1539" s="19" t="str">
        <f>IFERROR(__xludf.DUMMYFUNCTION("""COMPUTED_VALUE"""),"x")</f>
        <v>x</v>
      </c>
      <c r="H1539" s="19" t="str">
        <f>IFERROR(__xludf.DUMMYFUNCTION("""COMPUTED_VALUE"""),"x")</f>
        <v>x</v>
      </c>
      <c r="I1539" s="19" t="str">
        <f>IFERROR(__xludf.DUMMYFUNCTION("""COMPUTED_VALUE"""),"x")</f>
        <v>x</v>
      </c>
      <c r="J1539" s="20" t="str">
        <f>IFERROR(__xludf.DUMMYFUNCTION("""COMPUTED_VALUE"""),"x")</f>
        <v>x</v>
      </c>
      <c r="K1539" s="19" t="str">
        <f>IFERROR(__xludf.DUMMYFUNCTION("""COMPUTED_VALUE"""),"x")</f>
        <v>x</v>
      </c>
      <c r="L1539" s="20" t="str">
        <f>IFERROR(__xludf.DUMMYFUNCTION("""COMPUTED_VALUE"""),"x")</f>
        <v>x</v>
      </c>
      <c r="M1539" s="19" t="str">
        <f>IFERROR(__xludf.DUMMYFUNCTION("""COMPUTED_VALUE"""),"PCM")</f>
        <v>PCM</v>
      </c>
      <c r="N1539" s="19" t="str">
        <f>IFERROR(__xludf.DUMMYFUNCTION("""COMPUTED_VALUE"""),"PRIORIDAD 1 Q3 2023 OCTUBRE")</f>
        <v>PRIORIDAD 1 Q3 2023 OCTUBRE</v>
      </c>
    </row>
    <row r="1540" ht="15.75" customHeight="1">
      <c r="A1540" s="19" t="str">
        <f>IFERROR(__xludf.DUMMYFUNCTION("""COMPUTED_VALUE"""),"AB_3858")</f>
        <v>AB_3858</v>
      </c>
      <c r="B1540" s="19" t="str">
        <f>IFERROR(__xludf.DUMMYFUNCTION("""COMPUTED_VALUE"""),"AB_3858_D")</f>
        <v>AB_3858_D</v>
      </c>
      <c r="C1540" s="19" t="str">
        <f>IFERROR(__xludf.DUMMYFUNCTION("""COMPUTED_VALUE"""),"AT3858")</f>
        <v>AT3858</v>
      </c>
      <c r="D1540" s="19" t="str">
        <f>IFERROR(__xludf.DUMMYFUNCTION("""COMPUTED_VALUE"""),"Caldera Acceso Sur")</f>
        <v>Caldera Acceso Sur</v>
      </c>
      <c r="E1540" s="19" t="str">
        <f>IFERROR(__xludf.DUMMYFUNCTION("""COMPUTED_VALUE"""),"SITIO RFI")</f>
        <v>SITIO RFI</v>
      </c>
      <c r="F1540" s="19"/>
      <c r="G1540" s="19" t="str">
        <f>IFERROR(__xludf.DUMMYFUNCTION("""COMPUTED_VALUE"""),"x")</f>
        <v>x</v>
      </c>
      <c r="H1540" s="19" t="str">
        <f>IFERROR(__xludf.DUMMYFUNCTION("""COMPUTED_VALUE"""),"x")</f>
        <v>x</v>
      </c>
      <c r="I1540" s="19" t="str">
        <f>IFERROR(__xludf.DUMMYFUNCTION("""COMPUTED_VALUE"""),"x")</f>
        <v>x</v>
      </c>
      <c r="J1540" s="20" t="str">
        <f>IFERROR(__xludf.DUMMYFUNCTION("""COMPUTED_VALUE"""),"x")</f>
        <v>x</v>
      </c>
      <c r="K1540" s="19" t="str">
        <f>IFERROR(__xludf.DUMMYFUNCTION("""COMPUTED_VALUE"""),"x")</f>
        <v>x</v>
      </c>
      <c r="L1540" s="20" t="str">
        <f>IFERROR(__xludf.DUMMYFUNCTION("""COMPUTED_VALUE"""),"x")</f>
        <v>x</v>
      </c>
      <c r="M1540" s="19" t="str">
        <f>IFERROR(__xludf.DUMMYFUNCTION("""COMPUTED_VALUE"""),"PCM")</f>
        <v>PCM</v>
      </c>
      <c r="N1540" s="19" t="str">
        <f>IFERROR(__xludf.DUMMYFUNCTION("""COMPUTED_VALUE"""),"PRIORIDAD 1 Q3 2023 OCTUBRE")</f>
        <v>PRIORIDAD 1 Q3 2023 OCTUBRE</v>
      </c>
    </row>
    <row r="1541" ht="15.75" customHeight="1">
      <c r="A1541" s="19" t="str">
        <f>IFERROR(__xludf.DUMMYFUNCTION("""COMPUTED_VALUE"""),"AB_7637")</f>
        <v>AB_7637</v>
      </c>
      <c r="B1541" s="19" t="str">
        <f>IFERROR(__xludf.DUMMYFUNCTION("""COMPUTED_VALUE"""),"AB_7637_C")</f>
        <v>AB_7637_C</v>
      </c>
      <c r="C1541" s="19" t="str">
        <f>IFERROR(__xludf.DUMMYFUNCTION("""COMPUTED_VALUE"""),"AT7637")</f>
        <v>AT7637</v>
      </c>
      <c r="D1541" s="19" t="str">
        <f>IFERROR(__xludf.DUMMYFUNCTION("""COMPUTED_VALUE"""),"Tierra Amarilla Oriente")</f>
        <v>Tierra Amarilla Oriente</v>
      </c>
      <c r="E1541" s="19" t="str">
        <f>IFERROR(__xludf.DUMMYFUNCTION("""COMPUTED_VALUE"""),"SITIO RFI")</f>
        <v>SITIO RFI</v>
      </c>
      <c r="F1541" s="19"/>
      <c r="G1541" s="19" t="str">
        <f>IFERROR(__xludf.DUMMYFUNCTION("""COMPUTED_VALUE"""),"x")</f>
        <v>x</v>
      </c>
      <c r="H1541" s="19" t="str">
        <f>IFERROR(__xludf.DUMMYFUNCTION("""COMPUTED_VALUE"""),"x")</f>
        <v>x</v>
      </c>
      <c r="I1541" s="19" t="str">
        <f>IFERROR(__xludf.DUMMYFUNCTION("""COMPUTED_VALUE"""),"x")</f>
        <v>x</v>
      </c>
      <c r="J1541" s="20" t="str">
        <f>IFERROR(__xludf.DUMMYFUNCTION("""COMPUTED_VALUE"""),"x")</f>
        <v>x</v>
      </c>
      <c r="K1541" s="19" t="str">
        <f>IFERROR(__xludf.DUMMYFUNCTION("""COMPUTED_VALUE"""),"x")</f>
        <v>x</v>
      </c>
      <c r="L1541" s="20" t="str">
        <f>IFERROR(__xludf.DUMMYFUNCTION("""COMPUTED_VALUE"""),"x")</f>
        <v>x</v>
      </c>
      <c r="M1541" s="19" t="str">
        <f>IFERROR(__xludf.DUMMYFUNCTION("""COMPUTED_VALUE"""),"PCM")</f>
        <v>PCM</v>
      </c>
      <c r="N1541" s="19" t="str">
        <f>IFERROR(__xludf.DUMMYFUNCTION("""COMPUTED_VALUE"""),"PRIORIDAD 1 Q3 2023 OCTUBRE")</f>
        <v>PRIORIDAD 1 Q3 2023 OCTUBRE</v>
      </c>
    </row>
    <row r="1542" ht="15.75" customHeight="1">
      <c r="A1542" s="19" t="str">
        <f>IFERROR(__xludf.DUMMYFUNCTION("""COMPUTED_VALUE"""),"AB_8791")</f>
        <v>AB_8791</v>
      </c>
      <c r="B1542" s="19" t="str">
        <f>IFERROR(__xludf.DUMMYFUNCTION("""COMPUTED_VALUE"""),"AB_8791_A")</f>
        <v>AB_8791_A</v>
      </c>
      <c r="C1542" s="19" t="str">
        <f>IFERROR(__xludf.DUMMYFUNCTION("""COMPUTED_VALUE"""),"AT8791")</f>
        <v>AT8791</v>
      </c>
      <c r="D1542" s="19" t="str">
        <f>IFERROR(__xludf.DUMMYFUNCTION("""COMPUTED_VALUE"""),"Parque Huasco")</f>
        <v>Parque Huasco</v>
      </c>
      <c r="E1542" s="19" t="str">
        <f>IFERROR(__xludf.DUMMYFUNCTION("""COMPUTED_VALUE"""),"SITIO RFI")</f>
        <v>SITIO RFI</v>
      </c>
      <c r="F1542" s="19"/>
      <c r="G1542" s="19" t="str">
        <f>IFERROR(__xludf.DUMMYFUNCTION("""COMPUTED_VALUE"""),"x")</f>
        <v>x</v>
      </c>
      <c r="H1542" s="19" t="str">
        <f>IFERROR(__xludf.DUMMYFUNCTION("""COMPUTED_VALUE"""),"x")</f>
        <v>x</v>
      </c>
      <c r="I1542" s="19" t="str">
        <f>IFERROR(__xludf.DUMMYFUNCTION("""COMPUTED_VALUE"""),"x")</f>
        <v>x</v>
      </c>
      <c r="J1542" s="20" t="str">
        <f>IFERROR(__xludf.DUMMYFUNCTION("""COMPUTED_VALUE"""),"x")</f>
        <v>x</v>
      </c>
      <c r="K1542" s="19" t="str">
        <f>IFERROR(__xludf.DUMMYFUNCTION("""COMPUTED_VALUE"""),"x")</f>
        <v>x</v>
      </c>
      <c r="L1542" s="20" t="str">
        <f>IFERROR(__xludf.DUMMYFUNCTION("""COMPUTED_VALUE"""),"x")</f>
        <v>x</v>
      </c>
      <c r="M1542" s="19" t="str">
        <f>IFERROR(__xludf.DUMMYFUNCTION("""COMPUTED_VALUE"""),"PCM")</f>
        <v>PCM</v>
      </c>
      <c r="N1542" s="19" t="str">
        <f>IFERROR(__xludf.DUMMYFUNCTION("""COMPUTED_VALUE"""),"PRIORIDAD 1 Q3 2023 OCTUBRE")</f>
        <v>PRIORIDAD 1 Q3 2023 OCTUBRE</v>
      </c>
    </row>
    <row r="1543" ht="15.75" customHeight="1">
      <c r="A1543" s="19" t="str">
        <f>IFERROR(__xludf.DUMMYFUNCTION("""COMPUTED_VALUE"""),"AB_10158")</f>
        <v>AB_10158</v>
      </c>
      <c r="B1543" s="19" t="str">
        <f>IFERROR(__xludf.DUMMYFUNCTION("""COMPUTED_VALUE"""),"AB_10158_A")</f>
        <v>AB_10158_A</v>
      </c>
      <c r="C1543" s="19" t="str">
        <f>IFERROR(__xludf.DUMMYFUNCTION("""COMPUTED_VALUE"""),"AY10158")</f>
        <v>AY10158</v>
      </c>
      <c r="D1543" s="19" t="str">
        <f>IFERROR(__xludf.DUMMYFUNCTION("""COMPUTED_VALUE"""),"Puerto Chacabuco 5G")</f>
        <v>Puerto Chacabuco 5G</v>
      </c>
      <c r="E1543" s="19" t="str">
        <f>IFERROR(__xludf.DUMMYFUNCTION("""COMPUTED_VALUE"""),"SITIO RFI")</f>
        <v>SITIO RFI</v>
      </c>
      <c r="F1543" s="19"/>
      <c r="G1543" s="19" t="str">
        <f>IFERROR(__xludf.DUMMYFUNCTION("""COMPUTED_VALUE"""),"x")</f>
        <v>x</v>
      </c>
      <c r="H1543" s="19" t="str">
        <f>IFERROR(__xludf.DUMMYFUNCTION("""COMPUTED_VALUE"""),"x")</f>
        <v>x</v>
      </c>
      <c r="I1543" s="19" t="str">
        <f>IFERROR(__xludf.DUMMYFUNCTION("""COMPUTED_VALUE"""),"x")</f>
        <v>x</v>
      </c>
      <c r="J1543" s="20" t="str">
        <f>IFERROR(__xludf.DUMMYFUNCTION("""COMPUTED_VALUE"""),"x")</f>
        <v>x</v>
      </c>
      <c r="K1543" s="19" t="str">
        <f>IFERROR(__xludf.DUMMYFUNCTION("""COMPUTED_VALUE"""),"x")</f>
        <v>x</v>
      </c>
      <c r="L1543" s="20" t="str">
        <f>IFERROR(__xludf.DUMMYFUNCTION("""COMPUTED_VALUE"""),"x")</f>
        <v>x</v>
      </c>
      <c r="M1543" s="19" t="str">
        <f>IFERROR(__xludf.DUMMYFUNCTION("""COMPUTED_VALUE"""),"PP")</f>
        <v>PP</v>
      </c>
      <c r="N1543" s="19" t="str">
        <f>IFERROR(__xludf.DUMMYFUNCTION("""COMPUTED_VALUE"""),"PRIORIDAD 1 Q3 2023 OCTUBRE")</f>
        <v>PRIORIDAD 1 Q3 2023 OCTUBRE</v>
      </c>
    </row>
    <row r="1544" ht="15.75" customHeight="1">
      <c r="A1544" s="19" t="str">
        <f>IFERROR(__xludf.DUMMYFUNCTION("""COMPUTED_VALUE"""),"AB_10276")</f>
        <v>AB_10276</v>
      </c>
      <c r="B1544" s="19" t="str">
        <f>IFERROR(__xludf.DUMMYFUNCTION("""COMPUTED_VALUE"""),"AB_10276_D")</f>
        <v>AB_10276_D</v>
      </c>
      <c r="C1544" s="19" t="str">
        <f>IFERROR(__xludf.DUMMYFUNCTION("""COMPUTED_VALUE"""),"AY10276")</f>
        <v>AY10276</v>
      </c>
      <c r="D1544" s="19" t="str">
        <f>IFERROR(__xludf.DUMMYFUNCTION("""COMPUTED_VALUE"""),"Hospital Chile Chico")</f>
        <v>Hospital Chile Chico</v>
      </c>
      <c r="E1544" s="19" t="str">
        <f>IFERROR(__xludf.DUMMYFUNCTION("""COMPUTED_VALUE"""),"SITIO RFI")</f>
        <v>SITIO RFI</v>
      </c>
      <c r="F1544" s="19"/>
      <c r="G1544" s="19" t="str">
        <f>IFERROR(__xludf.DUMMYFUNCTION("""COMPUTED_VALUE"""),"x")</f>
        <v>x</v>
      </c>
      <c r="H1544" s="19" t="str">
        <f>IFERROR(__xludf.DUMMYFUNCTION("""COMPUTED_VALUE"""),"x")</f>
        <v>x</v>
      </c>
      <c r="I1544" s="19" t="str">
        <f>IFERROR(__xludf.DUMMYFUNCTION("""COMPUTED_VALUE"""),"x")</f>
        <v>x</v>
      </c>
      <c r="J1544" s="20" t="str">
        <f>IFERROR(__xludf.DUMMYFUNCTION("""COMPUTED_VALUE"""),"x")</f>
        <v>x</v>
      </c>
      <c r="K1544" s="19" t="str">
        <f>IFERROR(__xludf.DUMMYFUNCTION("""COMPUTED_VALUE"""),"x")</f>
        <v>x</v>
      </c>
      <c r="L1544" s="20" t="str">
        <f>IFERROR(__xludf.DUMMYFUNCTION("""COMPUTED_VALUE"""),"x")</f>
        <v>x</v>
      </c>
      <c r="M1544" s="19" t="str">
        <f>IFERROR(__xludf.DUMMYFUNCTION("""COMPUTED_VALUE"""),"PCM")</f>
        <v>PCM</v>
      </c>
      <c r="N1544" s="19" t="str">
        <f>IFERROR(__xludf.DUMMYFUNCTION("""COMPUTED_VALUE"""),"PRIORIDAD 1 Q3 2023 OCTUBRE")</f>
        <v>PRIORIDAD 1 Q3 2023 OCTUBRE</v>
      </c>
    </row>
    <row r="1545" ht="15.75" customHeight="1">
      <c r="A1545" s="19" t="str">
        <f>IFERROR(__xludf.DUMMYFUNCTION("""COMPUTED_VALUE"""),"AB_4660")</f>
        <v>AB_4660</v>
      </c>
      <c r="B1545" s="19" t="str">
        <f>IFERROR(__xludf.DUMMYFUNCTION("""COMPUTED_VALUE"""),"AB_4660_A")</f>
        <v>AB_4660_A</v>
      </c>
      <c r="C1545" s="19" t="str">
        <f>IFERROR(__xludf.DUMMYFUNCTION("""COMPUTED_VALUE"""),"AY4660")</f>
        <v>AY4660</v>
      </c>
      <c r="D1545" s="19" t="str">
        <f>IFERROR(__xludf.DUMMYFUNCTION("""COMPUTED_VALUE"""),"Aysen Luis Bustos")</f>
        <v>Aysen Luis Bustos</v>
      </c>
      <c r="E1545" s="19" t="str">
        <f>IFERROR(__xludf.DUMMYFUNCTION("""COMPUTED_VALUE"""),"SITIO RFI")</f>
        <v>SITIO RFI</v>
      </c>
      <c r="F1545" s="19"/>
      <c r="G1545" s="19" t="str">
        <f>IFERROR(__xludf.DUMMYFUNCTION("""COMPUTED_VALUE"""),"x")</f>
        <v>x</v>
      </c>
      <c r="H1545" s="19" t="str">
        <f>IFERROR(__xludf.DUMMYFUNCTION("""COMPUTED_VALUE"""),"x")</f>
        <v>x</v>
      </c>
      <c r="I1545" s="19" t="str">
        <f>IFERROR(__xludf.DUMMYFUNCTION("""COMPUTED_VALUE"""),"x")</f>
        <v>x</v>
      </c>
      <c r="J1545" s="20" t="str">
        <f>IFERROR(__xludf.DUMMYFUNCTION("""COMPUTED_VALUE"""),"x")</f>
        <v>x</v>
      </c>
      <c r="K1545" s="19" t="str">
        <f>IFERROR(__xludf.DUMMYFUNCTION("""COMPUTED_VALUE"""),"x")</f>
        <v>x</v>
      </c>
      <c r="L1545" s="20" t="str">
        <f>IFERROR(__xludf.DUMMYFUNCTION("""COMPUTED_VALUE"""),"x")</f>
        <v>x</v>
      </c>
      <c r="M1545" s="19" t="str">
        <f>IFERROR(__xludf.DUMMYFUNCTION("""COMPUTED_VALUE"""),"PCM")</f>
        <v>PCM</v>
      </c>
      <c r="N1545" s="19" t="str">
        <f>IFERROR(__xludf.DUMMYFUNCTION("""COMPUTED_VALUE"""),"PRIORIDAD 1 Q3 2023 OCTUBRE")</f>
        <v>PRIORIDAD 1 Q3 2023 OCTUBRE</v>
      </c>
    </row>
    <row r="1546" ht="15.75" customHeight="1">
      <c r="A1546" s="19" t="str">
        <f>IFERROR(__xludf.DUMMYFUNCTION("""COMPUTED_VALUE"""),"AB_0647")</f>
        <v>AB_0647</v>
      </c>
      <c r="B1546" s="19" t="str">
        <f>IFERROR(__xludf.DUMMYFUNCTION("""COMPUTED_VALUE"""),"AB_0647_F")</f>
        <v>AB_0647_F</v>
      </c>
      <c r="C1546" s="19" t="str">
        <f>IFERROR(__xludf.DUMMYFUNCTION("""COMPUTED_VALUE"""),"BI0647")</f>
        <v>BI0647</v>
      </c>
      <c r="D1546" s="19" t="str">
        <f>IFERROR(__xludf.DUMMYFUNCTION("""COMPUTED_VALUE"""),"Diego Portales")</f>
        <v>Diego Portales</v>
      </c>
      <c r="E1546" s="19" t="str">
        <f>IFERROR(__xludf.DUMMYFUNCTION("""COMPUTED_VALUE"""),"SITIO RFI")</f>
        <v>SITIO RFI</v>
      </c>
      <c r="F1546" s="19"/>
      <c r="G1546" s="19" t="str">
        <f>IFERROR(__xludf.DUMMYFUNCTION("""COMPUTED_VALUE"""),"x")</f>
        <v>x</v>
      </c>
      <c r="H1546" s="19" t="str">
        <f>IFERROR(__xludf.DUMMYFUNCTION("""COMPUTED_VALUE"""),"x")</f>
        <v>x</v>
      </c>
      <c r="I1546" s="19" t="str">
        <f>IFERROR(__xludf.DUMMYFUNCTION("""COMPUTED_VALUE"""),"x")</f>
        <v>x</v>
      </c>
      <c r="J1546" s="20" t="str">
        <f>IFERROR(__xludf.DUMMYFUNCTION("""COMPUTED_VALUE"""),"x")</f>
        <v>x</v>
      </c>
      <c r="K1546" s="19" t="str">
        <f>IFERROR(__xludf.DUMMYFUNCTION("""COMPUTED_VALUE"""),"x")</f>
        <v>x</v>
      </c>
      <c r="L1546" s="20" t="str">
        <f>IFERROR(__xludf.DUMMYFUNCTION("""COMPUTED_VALUE"""),"x")</f>
        <v>x</v>
      </c>
      <c r="M1546" s="19" t="str">
        <f>IFERROR(__xludf.DUMMYFUNCTION("""COMPUTED_VALUE"""),"PCM")</f>
        <v>PCM</v>
      </c>
      <c r="N1546" s="19" t="str">
        <f>IFERROR(__xludf.DUMMYFUNCTION("""COMPUTED_VALUE"""),"PRIORIDAD 1 Q3 2023 OCTUBRE")</f>
        <v>PRIORIDAD 1 Q3 2023 OCTUBRE</v>
      </c>
    </row>
    <row r="1547" ht="15.75" customHeight="1">
      <c r="A1547" s="19" t="str">
        <f>IFERROR(__xludf.DUMMYFUNCTION("""COMPUTED_VALUE"""),"AB_0707")</f>
        <v>AB_0707</v>
      </c>
      <c r="B1547" s="19" t="str">
        <f>IFERROR(__xludf.DUMMYFUNCTION("""COMPUTED_VALUE"""),"AB_0707_F")</f>
        <v>AB_0707_F</v>
      </c>
      <c r="C1547" s="19" t="str">
        <f>IFERROR(__xludf.DUMMYFUNCTION("""COMPUTED_VALUE"""),"BI0707")</f>
        <v>BI0707</v>
      </c>
      <c r="D1547" s="19" t="str">
        <f>IFERROR(__xludf.DUMMYFUNCTION("""COMPUTED_VALUE"""),"Los Lobos")</f>
        <v>Los Lobos</v>
      </c>
      <c r="E1547" s="19" t="str">
        <f>IFERROR(__xludf.DUMMYFUNCTION("""COMPUTED_VALUE"""),"SITIO RFI")</f>
        <v>SITIO RFI</v>
      </c>
      <c r="F1547" s="19"/>
      <c r="G1547" s="19" t="str">
        <f>IFERROR(__xludf.DUMMYFUNCTION("""COMPUTED_VALUE"""),"x")</f>
        <v>x</v>
      </c>
      <c r="H1547" s="19" t="str">
        <f>IFERROR(__xludf.DUMMYFUNCTION("""COMPUTED_VALUE"""),"x")</f>
        <v>x</v>
      </c>
      <c r="I1547" s="19" t="str">
        <f>IFERROR(__xludf.DUMMYFUNCTION("""COMPUTED_VALUE"""),"x")</f>
        <v>x</v>
      </c>
      <c r="J1547" s="20" t="str">
        <f>IFERROR(__xludf.DUMMYFUNCTION("""COMPUTED_VALUE"""),"x")</f>
        <v>x</v>
      </c>
      <c r="K1547" s="19" t="str">
        <f>IFERROR(__xludf.DUMMYFUNCTION("""COMPUTED_VALUE"""),"x")</f>
        <v>x</v>
      </c>
      <c r="L1547" s="20" t="str">
        <f>IFERROR(__xludf.DUMMYFUNCTION("""COMPUTED_VALUE"""),"x")</f>
        <v>x</v>
      </c>
      <c r="M1547" s="19" t="str">
        <f>IFERROR(__xludf.DUMMYFUNCTION("""COMPUTED_VALUE"""),"PCM")</f>
        <v>PCM</v>
      </c>
      <c r="N1547" s="19" t="str">
        <f>IFERROR(__xludf.DUMMYFUNCTION("""COMPUTED_VALUE"""),"PRIORIDAD 1 Q3 2023 OCTUBRE")</f>
        <v>PRIORIDAD 1 Q3 2023 OCTUBRE</v>
      </c>
    </row>
    <row r="1548" ht="15.75" customHeight="1">
      <c r="A1548" s="19" t="str">
        <f>IFERROR(__xludf.DUMMYFUNCTION("""COMPUTED_VALUE"""),"AB_0767")</f>
        <v>AB_0767</v>
      </c>
      <c r="B1548" s="19" t="str">
        <f>IFERROR(__xludf.DUMMYFUNCTION("""COMPUTED_VALUE"""),"AB_0767_E")</f>
        <v>AB_0767_E</v>
      </c>
      <c r="C1548" s="19" t="str">
        <f>IFERROR(__xludf.DUMMYFUNCTION("""COMPUTED_VALUE"""),"BI0767")</f>
        <v>BI0767</v>
      </c>
      <c r="D1548" s="19" t="str">
        <f>IFERROR(__xludf.DUMMYFUNCTION("""COMPUTED_VALUE"""),"Walter Schaub")</f>
        <v>Walter Schaub</v>
      </c>
      <c r="E1548" s="19" t="str">
        <f>IFERROR(__xludf.DUMMYFUNCTION("""COMPUTED_VALUE"""),"DETENIDO SAC")</f>
        <v>DETENIDO SAC</v>
      </c>
      <c r="F1548" s="19"/>
      <c r="G1548" s="19" t="str">
        <f>IFERROR(__xludf.DUMMYFUNCTION("""COMPUTED_VALUE"""),"x")</f>
        <v>x</v>
      </c>
      <c r="H1548" s="19" t="str">
        <f>IFERROR(__xludf.DUMMYFUNCTION("""COMPUTED_VALUE"""),"x")</f>
        <v>x</v>
      </c>
      <c r="I1548" s="19" t="str">
        <f>IFERROR(__xludf.DUMMYFUNCTION("""COMPUTED_VALUE"""),"x")</f>
        <v>x</v>
      </c>
      <c r="J1548" s="20" t="str">
        <f>IFERROR(__xludf.DUMMYFUNCTION("""COMPUTED_VALUE"""),"x")</f>
        <v>x</v>
      </c>
      <c r="K1548" s="19" t="str">
        <f>IFERROR(__xludf.DUMMYFUNCTION("""COMPUTED_VALUE"""),"x")</f>
        <v>x</v>
      </c>
      <c r="L1548" s="20" t="str">
        <f>IFERROR(__xludf.DUMMYFUNCTION("""COMPUTED_VALUE"""),"x")</f>
        <v>x</v>
      </c>
      <c r="M1548" s="19" t="str">
        <f>IFERROR(__xludf.DUMMYFUNCTION("""COMPUTED_VALUE"""),"PCM")</f>
        <v>PCM</v>
      </c>
      <c r="N1548" s="19" t="str">
        <f>IFERROR(__xludf.DUMMYFUNCTION("""COMPUTED_VALUE"""),"PRIORIDAD 3 Q1 2024 MARZO")</f>
        <v>PRIORIDAD 3 Q1 2024 MARZO</v>
      </c>
    </row>
    <row r="1549" ht="15.75" customHeight="1">
      <c r="A1549" s="19" t="str">
        <f>IFERROR(__xludf.DUMMYFUNCTION("""COMPUTED_VALUE"""),"AB_10184")</f>
        <v>AB_10184</v>
      </c>
      <c r="B1549" s="19" t="str">
        <f>IFERROR(__xludf.DUMMYFUNCTION("""COMPUTED_VALUE"""),"AB_10184_C")</f>
        <v>AB_10184_C</v>
      </c>
      <c r="C1549" s="19" t="str">
        <f>IFERROR(__xludf.DUMMYFUNCTION("""COMPUTED_VALUE"""),"BI10184")</f>
        <v>BI10184</v>
      </c>
      <c r="D1549" s="19" t="str">
        <f>IFERROR(__xludf.DUMMYFUNCTION("""COMPUTED_VALUE"""),"Viluco - Las Palmas")</f>
        <v>Viluco - Las Palmas</v>
      </c>
      <c r="E1549" s="19" t="str">
        <f>IFERROR(__xludf.DUMMYFUNCTION("""COMPUTED_VALUE"""),"DETENIDO SAC")</f>
        <v>DETENIDO SAC</v>
      </c>
      <c r="F1549" s="19"/>
      <c r="G1549" s="19" t="str">
        <f>IFERROR(__xludf.DUMMYFUNCTION("""COMPUTED_VALUE"""),"x")</f>
        <v>x</v>
      </c>
      <c r="H1549" s="19" t="str">
        <f>IFERROR(__xludf.DUMMYFUNCTION("""COMPUTED_VALUE"""),"x")</f>
        <v>x</v>
      </c>
      <c r="I1549" s="19" t="str">
        <f>IFERROR(__xludf.DUMMYFUNCTION("""COMPUTED_VALUE"""),"x")</f>
        <v>x</v>
      </c>
      <c r="J1549" s="20" t="str">
        <f>IFERROR(__xludf.DUMMYFUNCTION("""COMPUTED_VALUE"""),"x")</f>
        <v>x</v>
      </c>
      <c r="K1549" s="19" t="str">
        <f>IFERROR(__xludf.DUMMYFUNCTION("""COMPUTED_VALUE"""),"x")</f>
        <v>x</v>
      </c>
      <c r="L1549" s="20" t="str">
        <f>IFERROR(__xludf.DUMMYFUNCTION("""COMPUTED_VALUE"""),"x")</f>
        <v>x</v>
      </c>
      <c r="M1549" s="19" t="str">
        <f>IFERROR(__xludf.DUMMYFUNCTION("""COMPUTED_VALUE"""),"PCM")</f>
        <v>PCM</v>
      </c>
      <c r="N1549" s="19" t="str">
        <f>IFERROR(__xludf.DUMMYFUNCTION("""COMPUTED_VALUE"""),"PRIORIDAD 1 Q3 2023 OCTUBRE")</f>
        <v>PRIORIDAD 1 Q3 2023 OCTUBRE</v>
      </c>
    </row>
    <row r="1550" ht="15.75" customHeight="1">
      <c r="A1550" s="19" t="str">
        <f>IFERROR(__xludf.DUMMYFUNCTION("""COMPUTED_VALUE"""),"AB_10214")</f>
        <v>AB_10214</v>
      </c>
      <c r="B1550" s="19" t="str">
        <f>IFERROR(__xludf.DUMMYFUNCTION("""COMPUTED_VALUE"""),"AB_10214_B")</f>
        <v>AB_10214_B</v>
      </c>
      <c r="C1550" s="19" t="str">
        <f>IFERROR(__xludf.DUMMYFUNCTION("""COMPUTED_VALUE"""),"BI10214")</f>
        <v>BI10214</v>
      </c>
      <c r="D1550" s="19" t="str">
        <f>IFERROR(__xludf.DUMMYFUNCTION("""COMPUTED_VALUE"""),"Fdo. Ma. Castellon")</f>
        <v>Fdo. Ma. Castellon</v>
      </c>
      <c r="E1550" s="19" t="str">
        <f>IFERROR(__xludf.DUMMYFUNCTION("""COMPUTED_VALUE"""),"SITIO RFI")</f>
        <v>SITIO RFI</v>
      </c>
      <c r="F1550" s="19"/>
      <c r="G1550" s="19" t="str">
        <f>IFERROR(__xludf.DUMMYFUNCTION("""COMPUTED_VALUE"""),"x")</f>
        <v>x</v>
      </c>
      <c r="H1550" s="19" t="str">
        <f>IFERROR(__xludf.DUMMYFUNCTION("""COMPUTED_VALUE"""),"x")</f>
        <v>x</v>
      </c>
      <c r="I1550" s="19" t="str">
        <f>IFERROR(__xludf.DUMMYFUNCTION("""COMPUTED_VALUE"""),"x")</f>
        <v>x</v>
      </c>
      <c r="J1550" s="20" t="str">
        <f>IFERROR(__xludf.DUMMYFUNCTION("""COMPUTED_VALUE"""),"x")</f>
        <v>x</v>
      </c>
      <c r="K1550" s="19" t="str">
        <f>IFERROR(__xludf.DUMMYFUNCTION("""COMPUTED_VALUE"""),"x")</f>
        <v>x</v>
      </c>
      <c r="L1550" s="20" t="str">
        <f>IFERROR(__xludf.DUMMYFUNCTION("""COMPUTED_VALUE"""),"x")</f>
        <v>x</v>
      </c>
      <c r="M1550" s="19" t="str">
        <f>IFERROR(__xludf.DUMMYFUNCTION("""COMPUTED_VALUE"""),"PCM")</f>
        <v>PCM</v>
      </c>
      <c r="N1550" s="19" t="str">
        <f>IFERROR(__xludf.DUMMYFUNCTION("""COMPUTED_VALUE"""),"PRIORIDAD 1 Q3 2023 OCTUBRE")</f>
        <v>PRIORIDAD 1 Q3 2023 OCTUBRE</v>
      </c>
    </row>
    <row r="1551" ht="15.75" customHeight="1">
      <c r="A1551" s="19" t="str">
        <f>IFERROR(__xludf.DUMMYFUNCTION("""COMPUTED_VALUE"""),"AB_10750")</f>
        <v>AB_10750</v>
      </c>
      <c r="B1551" s="19" t="str">
        <f>IFERROR(__xludf.DUMMYFUNCTION("""COMPUTED_VALUE"""),"AB_10750_A")</f>
        <v>AB_10750_A</v>
      </c>
      <c r="C1551" s="19" t="str">
        <f>IFERROR(__xludf.DUMMYFUNCTION("""COMPUTED_VALUE"""),"BI10750")</f>
        <v>BI10750</v>
      </c>
      <c r="D1551" s="19" t="str">
        <f>IFERROR(__xludf.DUMMYFUNCTION("""COMPUTED_VALUE"""),"Escuadrón Coronel RU")</f>
        <v>Escuadrón Coronel RU</v>
      </c>
      <c r="E1551" s="19" t="str">
        <f>IFERROR(__xludf.DUMMYFUNCTION("""COMPUTED_VALUE"""),"SITIO RFI")</f>
        <v>SITIO RFI</v>
      </c>
      <c r="F1551" s="19"/>
      <c r="G1551" s="19" t="str">
        <f>IFERROR(__xludf.DUMMYFUNCTION("""COMPUTED_VALUE"""),"x")</f>
        <v>x</v>
      </c>
      <c r="H1551" s="19" t="str">
        <f>IFERROR(__xludf.DUMMYFUNCTION("""COMPUTED_VALUE"""),"x")</f>
        <v>x</v>
      </c>
      <c r="I1551" s="19" t="str">
        <f>IFERROR(__xludf.DUMMYFUNCTION("""COMPUTED_VALUE"""),"x")</f>
        <v>x</v>
      </c>
      <c r="J1551" s="20" t="str">
        <f>IFERROR(__xludf.DUMMYFUNCTION("""COMPUTED_VALUE"""),"x")</f>
        <v>x</v>
      </c>
      <c r="K1551" s="19" t="str">
        <f>IFERROR(__xludf.DUMMYFUNCTION("""COMPUTED_VALUE"""),"x")</f>
        <v>x</v>
      </c>
      <c r="L1551" s="20" t="str">
        <f>IFERROR(__xludf.DUMMYFUNCTION("""COMPUTED_VALUE"""),"x")</f>
        <v>x</v>
      </c>
      <c r="M1551" s="19" t="str">
        <f>IFERROR(__xludf.DUMMYFUNCTION("""COMPUTED_VALUE"""),"PCM")</f>
        <v>PCM</v>
      </c>
      <c r="N1551" s="19" t="str">
        <f>IFERROR(__xludf.DUMMYFUNCTION("""COMPUTED_VALUE"""),"PRIORIDAD 1 Q3 2023 OCTUBRE")</f>
        <v>PRIORIDAD 1 Q3 2023 OCTUBRE</v>
      </c>
    </row>
    <row r="1552" ht="15.75" customHeight="1">
      <c r="A1552" s="19" t="str">
        <f>IFERROR(__xludf.DUMMYFUNCTION("""COMPUTED_VALUE"""),"AB_11305")</f>
        <v>AB_11305</v>
      </c>
      <c r="B1552" s="19" t="str">
        <f>IFERROR(__xludf.DUMMYFUNCTION("""COMPUTED_VALUE"""),"AB_11305_C")</f>
        <v>AB_11305_C</v>
      </c>
      <c r="C1552" s="19" t="str">
        <f>IFERROR(__xludf.DUMMYFUNCTION("""COMPUTED_VALUE"""),"BI11305")</f>
        <v>BI11305</v>
      </c>
      <c r="D1552" s="19" t="str">
        <f>IFERROR(__xludf.DUMMYFUNCTION("""COMPUTED_VALUE"""),"Lincoyan Curanilahue")</f>
        <v>Lincoyan Curanilahue</v>
      </c>
      <c r="E1552" s="19" t="str">
        <f>IFERROR(__xludf.DUMMYFUNCTION("""COMPUTED_VALUE"""),"SITIO RFI")</f>
        <v>SITIO RFI</v>
      </c>
      <c r="F1552" s="19"/>
      <c r="G1552" s="19" t="str">
        <f>IFERROR(__xludf.DUMMYFUNCTION("""COMPUTED_VALUE"""),"x")</f>
        <v>x</v>
      </c>
      <c r="H1552" s="19" t="str">
        <f>IFERROR(__xludf.DUMMYFUNCTION("""COMPUTED_VALUE"""),"x")</f>
        <v>x</v>
      </c>
      <c r="I1552" s="19" t="str">
        <f>IFERROR(__xludf.DUMMYFUNCTION("""COMPUTED_VALUE"""),"x")</f>
        <v>x</v>
      </c>
      <c r="J1552" s="20" t="str">
        <f>IFERROR(__xludf.DUMMYFUNCTION("""COMPUTED_VALUE"""),"x")</f>
        <v>x</v>
      </c>
      <c r="K1552" s="19" t="str">
        <f>IFERROR(__xludf.DUMMYFUNCTION("""COMPUTED_VALUE"""),"x")</f>
        <v>x</v>
      </c>
      <c r="L1552" s="20" t="str">
        <f>IFERROR(__xludf.DUMMYFUNCTION("""COMPUTED_VALUE"""),"x")</f>
        <v>x</v>
      </c>
      <c r="M1552" s="19" t="str">
        <f>IFERROR(__xludf.DUMMYFUNCTION("""COMPUTED_VALUE"""),"PCM_2")</f>
        <v>PCM_2</v>
      </c>
      <c r="N1552" s="19" t="str">
        <f>IFERROR(__xludf.DUMMYFUNCTION("""COMPUTED_VALUE"""),"PRIORIDAD 1 Q3 2023 OCTUBRE")</f>
        <v>PRIORIDAD 1 Q3 2023 OCTUBRE</v>
      </c>
    </row>
    <row r="1553" ht="15.75" customHeight="1">
      <c r="A1553" s="19" t="str">
        <f>IFERROR(__xludf.DUMMYFUNCTION("""COMPUTED_VALUE"""),"AB_1910")</f>
        <v>AB_1910</v>
      </c>
      <c r="B1553" s="19" t="str">
        <f>IFERROR(__xludf.DUMMYFUNCTION("""COMPUTED_VALUE"""),"AB_1910_E")</f>
        <v>AB_1910_E</v>
      </c>
      <c r="C1553" s="19" t="str">
        <f>IFERROR(__xludf.DUMMYFUNCTION("""COMPUTED_VALUE"""),"BI1910")</f>
        <v>BI1910</v>
      </c>
      <c r="D1553" s="19" t="str">
        <f>IFERROR(__xludf.DUMMYFUNCTION("""COMPUTED_VALUE"""),"Chiguayante Sur 2")</f>
        <v>Chiguayante Sur 2</v>
      </c>
      <c r="E1553" s="19" t="str">
        <f>IFERROR(__xludf.DUMMYFUNCTION("""COMPUTED_VALUE"""),"DETENIDO SAC")</f>
        <v>DETENIDO SAC</v>
      </c>
      <c r="F1553" s="19"/>
      <c r="G1553" s="19" t="str">
        <f>IFERROR(__xludf.DUMMYFUNCTION("""COMPUTED_VALUE"""),"x")</f>
        <v>x</v>
      </c>
      <c r="H1553" s="19" t="str">
        <f>IFERROR(__xludf.DUMMYFUNCTION("""COMPUTED_VALUE"""),"x")</f>
        <v>x</v>
      </c>
      <c r="I1553" s="19" t="str">
        <f>IFERROR(__xludf.DUMMYFUNCTION("""COMPUTED_VALUE"""),"x")</f>
        <v>x</v>
      </c>
      <c r="J1553" s="20" t="str">
        <f>IFERROR(__xludf.DUMMYFUNCTION("""COMPUTED_VALUE"""),"x")</f>
        <v>x</v>
      </c>
      <c r="K1553" s="19" t="str">
        <f>IFERROR(__xludf.DUMMYFUNCTION("""COMPUTED_VALUE"""),"x")</f>
        <v>x</v>
      </c>
      <c r="L1553" s="20" t="str">
        <f>IFERROR(__xludf.DUMMYFUNCTION("""COMPUTED_VALUE"""),"x")</f>
        <v>x</v>
      </c>
      <c r="M1553" s="19" t="str">
        <f>IFERROR(__xludf.DUMMYFUNCTION("""COMPUTED_VALUE"""),"PCM")</f>
        <v>PCM</v>
      </c>
      <c r="N1553" s="19" t="str">
        <f>IFERROR(__xludf.DUMMYFUNCTION("""COMPUTED_VALUE"""),"PRIORIDAD 1 Q3 2023 OCTUBRE")</f>
        <v>PRIORIDAD 1 Q3 2023 OCTUBRE</v>
      </c>
    </row>
    <row r="1554" ht="15.75" customHeight="1">
      <c r="A1554" s="19" t="str">
        <f>IFERROR(__xludf.DUMMYFUNCTION("""COMPUTED_VALUE"""),"AB_4589")</f>
        <v>AB_4589</v>
      </c>
      <c r="B1554" s="19" t="str">
        <f>IFERROR(__xludf.DUMMYFUNCTION("""COMPUTED_VALUE"""),"AB_4589_B")</f>
        <v>AB_4589_B</v>
      </c>
      <c r="C1554" s="19" t="str">
        <f>IFERROR(__xludf.DUMMYFUNCTION("""COMPUTED_VALUE"""),"BI4589")</f>
        <v>BI4589</v>
      </c>
      <c r="D1554" s="19" t="str">
        <f>IFERROR(__xludf.DUMMYFUNCTION("""COMPUTED_VALUE"""),"Esperanza Chiguayante")</f>
        <v>Esperanza Chiguayante</v>
      </c>
      <c r="E1554" s="19" t="str">
        <f>IFERROR(__xludf.DUMMYFUNCTION("""COMPUTED_VALUE"""),"DETENIDO SAC")</f>
        <v>DETENIDO SAC</v>
      </c>
      <c r="F1554" s="19"/>
      <c r="G1554" s="19" t="str">
        <f>IFERROR(__xludf.DUMMYFUNCTION("""COMPUTED_VALUE"""),"x")</f>
        <v>x</v>
      </c>
      <c r="H1554" s="19" t="str">
        <f>IFERROR(__xludf.DUMMYFUNCTION("""COMPUTED_VALUE"""),"x")</f>
        <v>x</v>
      </c>
      <c r="I1554" s="19" t="str">
        <f>IFERROR(__xludf.DUMMYFUNCTION("""COMPUTED_VALUE"""),"x")</f>
        <v>x</v>
      </c>
      <c r="J1554" s="20" t="str">
        <f>IFERROR(__xludf.DUMMYFUNCTION("""COMPUTED_VALUE"""),"x")</f>
        <v>x</v>
      </c>
      <c r="K1554" s="19" t="str">
        <f>IFERROR(__xludf.DUMMYFUNCTION("""COMPUTED_VALUE"""),"x")</f>
        <v>x</v>
      </c>
      <c r="L1554" s="20" t="str">
        <f>IFERROR(__xludf.DUMMYFUNCTION("""COMPUTED_VALUE"""),"x")</f>
        <v>x</v>
      </c>
      <c r="M1554" s="19" t="str">
        <f>IFERROR(__xludf.DUMMYFUNCTION("""COMPUTED_VALUE"""),"PCM")</f>
        <v>PCM</v>
      </c>
      <c r="N1554" s="19" t="str">
        <f>IFERROR(__xludf.DUMMYFUNCTION("""COMPUTED_VALUE"""),"PRIORIDAD 1 Q3 2023 OCTUBRE")</f>
        <v>PRIORIDAD 1 Q3 2023 OCTUBRE</v>
      </c>
    </row>
    <row r="1555" ht="15.75" customHeight="1">
      <c r="A1555" s="19" t="str">
        <f>IFERROR(__xludf.DUMMYFUNCTION("""COMPUTED_VALUE"""),"AB_4593")</f>
        <v>AB_4593</v>
      </c>
      <c r="B1555" s="19" t="str">
        <f>IFERROR(__xludf.DUMMYFUNCTION("""COMPUTED_VALUE"""),"AB_4593_D")</f>
        <v>AB_4593_D</v>
      </c>
      <c r="C1555" s="19" t="str">
        <f>IFERROR(__xludf.DUMMYFUNCTION("""COMPUTED_VALUE"""),"BI4593")</f>
        <v>BI4593</v>
      </c>
      <c r="D1555" s="19" t="str">
        <f>IFERROR(__xludf.DUMMYFUNCTION("""COMPUTED_VALUE"""),"Mirador Chiguayante")</f>
        <v>Mirador Chiguayante</v>
      </c>
      <c r="E1555" s="19" t="str">
        <f>IFERROR(__xludf.DUMMYFUNCTION("""COMPUTED_VALUE"""),"DETENIDO SAC")</f>
        <v>DETENIDO SAC</v>
      </c>
      <c r="F1555" s="19"/>
      <c r="G1555" s="19" t="str">
        <f>IFERROR(__xludf.DUMMYFUNCTION("""COMPUTED_VALUE"""),"x")</f>
        <v>x</v>
      </c>
      <c r="H1555" s="19" t="str">
        <f>IFERROR(__xludf.DUMMYFUNCTION("""COMPUTED_VALUE"""),"x")</f>
        <v>x</v>
      </c>
      <c r="I1555" s="19" t="str">
        <f>IFERROR(__xludf.DUMMYFUNCTION("""COMPUTED_VALUE"""),"x")</f>
        <v>x</v>
      </c>
      <c r="J1555" s="20" t="str">
        <f>IFERROR(__xludf.DUMMYFUNCTION("""COMPUTED_VALUE"""),"x")</f>
        <v>x</v>
      </c>
      <c r="K1555" s="19" t="str">
        <f>IFERROR(__xludf.DUMMYFUNCTION("""COMPUTED_VALUE"""),"x")</f>
        <v>x</v>
      </c>
      <c r="L1555" s="20" t="str">
        <f>IFERROR(__xludf.DUMMYFUNCTION("""COMPUTED_VALUE"""),"x")</f>
        <v>x</v>
      </c>
      <c r="M1555" s="19" t="str">
        <f>IFERROR(__xludf.DUMMYFUNCTION("""COMPUTED_VALUE"""),"PCM")</f>
        <v>PCM</v>
      </c>
      <c r="N1555" s="19" t="str">
        <f>IFERROR(__xludf.DUMMYFUNCTION("""COMPUTED_VALUE"""),"PRIORIDAD 1 Q3 2023 OCTUBRE")</f>
        <v>PRIORIDAD 1 Q3 2023 OCTUBRE</v>
      </c>
    </row>
    <row r="1556" ht="15.75" customHeight="1">
      <c r="A1556" s="19" t="str">
        <f>IFERROR(__xludf.DUMMYFUNCTION("""COMPUTED_VALUE"""),"AB_4597")</f>
        <v>AB_4597</v>
      </c>
      <c r="B1556" s="19" t="str">
        <f>IFERROR(__xludf.DUMMYFUNCTION("""COMPUTED_VALUE"""),"AB_4597_D")</f>
        <v>AB_4597_D</v>
      </c>
      <c r="C1556" s="19" t="str">
        <f>IFERROR(__xludf.DUMMYFUNCTION("""COMPUTED_VALUE"""),"BI4597")</f>
        <v>BI4597</v>
      </c>
      <c r="D1556" s="19" t="str">
        <f>IFERROR(__xludf.DUMMYFUNCTION("""COMPUTED_VALUE"""),"Villa Presidente Rios")</f>
        <v>Villa Presidente Rios</v>
      </c>
      <c r="E1556" s="19" t="str">
        <f>IFERROR(__xludf.DUMMYFUNCTION("""COMPUTED_VALUE"""),"SITIO RFI")</f>
        <v>SITIO RFI</v>
      </c>
      <c r="F1556" s="19"/>
      <c r="G1556" s="19" t="str">
        <f>IFERROR(__xludf.DUMMYFUNCTION("""COMPUTED_VALUE"""),"x")</f>
        <v>x</v>
      </c>
      <c r="H1556" s="19" t="str">
        <f>IFERROR(__xludf.DUMMYFUNCTION("""COMPUTED_VALUE"""),"x")</f>
        <v>x</v>
      </c>
      <c r="I1556" s="19" t="str">
        <f>IFERROR(__xludf.DUMMYFUNCTION("""COMPUTED_VALUE"""),"x")</f>
        <v>x</v>
      </c>
      <c r="J1556" s="20" t="str">
        <f>IFERROR(__xludf.DUMMYFUNCTION("""COMPUTED_VALUE"""),"x")</f>
        <v>x</v>
      </c>
      <c r="K1556" s="19" t="str">
        <f>IFERROR(__xludf.DUMMYFUNCTION("""COMPUTED_VALUE"""),"x")</f>
        <v>x</v>
      </c>
      <c r="L1556" s="20" t="str">
        <f>IFERROR(__xludf.DUMMYFUNCTION("""COMPUTED_VALUE"""),"x")</f>
        <v>x</v>
      </c>
      <c r="M1556" s="19" t="str">
        <f>IFERROR(__xludf.DUMMYFUNCTION("""COMPUTED_VALUE"""),"PCM")</f>
        <v>PCM</v>
      </c>
      <c r="N1556" s="19" t="str">
        <f>IFERROR(__xludf.DUMMYFUNCTION("""COMPUTED_VALUE"""),"PRIORIDAD 1 Q3 2023 OCTUBRE")</f>
        <v>PRIORIDAD 1 Q3 2023 OCTUBRE</v>
      </c>
    </row>
    <row r="1557" ht="15.75" customHeight="1">
      <c r="A1557" s="19" t="str">
        <f>IFERROR(__xludf.DUMMYFUNCTION("""COMPUTED_VALUE"""),"AB_4602")</f>
        <v>AB_4602</v>
      </c>
      <c r="B1557" s="19" t="str">
        <f>IFERROR(__xludf.DUMMYFUNCTION("""COMPUTED_VALUE"""),"AB_4602_F")</f>
        <v>AB_4602_F</v>
      </c>
      <c r="C1557" s="19" t="str">
        <f>IFERROR(__xludf.DUMMYFUNCTION("""COMPUTED_VALUE"""),"BI4602")</f>
        <v>BI4602</v>
      </c>
      <c r="D1557" s="19" t="str">
        <f>IFERROR(__xludf.DUMMYFUNCTION("""COMPUTED_VALUE"""),"Alcatraz Talcahuano")</f>
        <v>Alcatraz Talcahuano</v>
      </c>
      <c r="E1557" s="19" t="str">
        <f>IFERROR(__xludf.DUMMYFUNCTION("""COMPUTED_VALUE"""),"DETENIDO SAC")</f>
        <v>DETENIDO SAC</v>
      </c>
      <c r="F1557" s="19"/>
      <c r="G1557" s="19" t="str">
        <f>IFERROR(__xludf.DUMMYFUNCTION("""COMPUTED_VALUE"""),"x")</f>
        <v>x</v>
      </c>
      <c r="H1557" s="19" t="str">
        <f>IFERROR(__xludf.DUMMYFUNCTION("""COMPUTED_VALUE"""),"x")</f>
        <v>x</v>
      </c>
      <c r="I1557" s="19" t="str">
        <f>IFERROR(__xludf.DUMMYFUNCTION("""COMPUTED_VALUE"""),"x")</f>
        <v>x</v>
      </c>
      <c r="J1557" s="20" t="str">
        <f>IFERROR(__xludf.DUMMYFUNCTION("""COMPUTED_VALUE"""),"x")</f>
        <v>x</v>
      </c>
      <c r="K1557" s="19" t="str">
        <f>IFERROR(__xludf.DUMMYFUNCTION("""COMPUTED_VALUE"""),"x")</f>
        <v>x</v>
      </c>
      <c r="L1557" s="20" t="str">
        <f>IFERROR(__xludf.DUMMYFUNCTION("""COMPUTED_VALUE"""),"x")</f>
        <v>x</v>
      </c>
      <c r="M1557" s="19" t="str">
        <f>IFERROR(__xludf.DUMMYFUNCTION("""COMPUTED_VALUE"""),"PCM")</f>
        <v>PCM</v>
      </c>
      <c r="N1557" s="19" t="str">
        <f>IFERROR(__xludf.DUMMYFUNCTION("""COMPUTED_VALUE"""),"PRIORIDAD 1 Q3 2023 OCTUBRE")</f>
        <v>PRIORIDAD 1 Q3 2023 OCTUBRE</v>
      </c>
    </row>
    <row r="1558" ht="15.75" customHeight="1">
      <c r="A1558" s="19" t="str">
        <f>IFERROR(__xludf.DUMMYFUNCTION("""COMPUTED_VALUE"""),"AB_5067")</f>
        <v>AB_5067</v>
      </c>
      <c r="B1558" s="19" t="str">
        <f>IFERROR(__xludf.DUMMYFUNCTION("""COMPUTED_VALUE"""),"AB_5067_B")</f>
        <v>AB_5067_B</v>
      </c>
      <c r="C1558" s="19" t="str">
        <f>IFERROR(__xludf.DUMMYFUNCTION("""COMPUTED_VALUE"""),"BI5067")</f>
        <v>BI5067</v>
      </c>
      <c r="D1558" s="19" t="str">
        <f>IFERROR(__xludf.DUMMYFUNCTION("""COMPUTED_VALUE"""),"Villa Acero Reubicacion")</f>
        <v>Villa Acero Reubicacion</v>
      </c>
      <c r="E1558" s="19" t="str">
        <f>IFERROR(__xludf.DUMMYFUNCTION("""COMPUTED_VALUE"""),"SITIO RFI")</f>
        <v>SITIO RFI</v>
      </c>
      <c r="F1558" s="19"/>
      <c r="G1558" s="19" t="str">
        <f>IFERROR(__xludf.DUMMYFUNCTION("""COMPUTED_VALUE"""),"x")</f>
        <v>x</v>
      </c>
      <c r="H1558" s="19" t="str">
        <f>IFERROR(__xludf.DUMMYFUNCTION("""COMPUTED_VALUE"""),"x")</f>
        <v>x</v>
      </c>
      <c r="I1558" s="19" t="str">
        <f>IFERROR(__xludf.DUMMYFUNCTION("""COMPUTED_VALUE"""),"x")</f>
        <v>x</v>
      </c>
      <c r="J1558" s="20" t="str">
        <f>IFERROR(__xludf.DUMMYFUNCTION("""COMPUTED_VALUE"""),"x")</f>
        <v>x</v>
      </c>
      <c r="K1558" s="19" t="str">
        <f>IFERROR(__xludf.DUMMYFUNCTION("""COMPUTED_VALUE"""),"x")</f>
        <v>x</v>
      </c>
      <c r="L1558" s="20" t="str">
        <f>IFERROR(__xludf.DUMMYFUNCTION("""COMPUTED_VALUE"""),"x")</f>
        <v>x</v>
      </c>
      <c r="M1558" s="19" t="str">
        <f>IFERROR(__xludf.DUMMYFUNCTION("""COMPUTED_VALUE"""),"PCM")</f>
        <v>PCM</v>
      </c>
      <c r="N1558" s="19" t="str">
        <f>IFERROR(__xludf.DUMMYFUNCTION("""COMPUTED_VALUE"""),"PRIORIDAD 1 Q3 2023 OCTUBRE")</f>
        <v>PRIORIDAD 1 Q3 2023 OCTUBRE</v>
      </c>
    </row>
    <row r="1559" ht="15.75" customHeight="1">
      <c r="A1559" s="19" t="str">
        <f>IFERROR(__xludf.DUMMYFUNCTION("""COMPUTED_VALUE"""),"AB_5366")</f>
        <v>AB_5366</v>
      </c>
      <c r="B1559" s="19" t="str">
        <f>IFERROR(__xludf.DUMMYFUNCTION("""COMPUTED_VALUE"""),"AB_5366_F")</f>
        <v>AB_5366_F</v>
      </c>
      <c r="C1559" s="19" t="str">
        <f>IFERROR(__xludf.DUMMYFUNCTION("""COMPUTED_VALUE"""),"BI5366")</f>
        <v>BI5366</v>
      </c>
      <c r="D1559" s="19" t="str">
        <f>IFERROR(__xludf.DUMMYFUNCTION("""COMPUTED_VALUE"""),"Lautaro Lirquen")</f>
        <v>Lautaro Lirquen</v>
      </c>
      <c r="E1559" s="19" t="str">
        <f>IFERROR(__xludf.DUMMYFUNCTION("""COMPUTED_VALUE"""),"SITIO RFI")</f>
        <v>SITIO RFI</v>
      </c>
      <c r="F1559" s="19"/>
      <c r="G1559" s="19" t="str">
        <f>IFERROR(__xludf.DUMMYFUNCTION("""COMPUTED_VALUE"""),"x")</f>
        <v>x</v>
      </c>
      <c r="H1559" s="19" t="str">
        <f>IFERROR(__xludf.DUMMYFUNCTION("""COMPUTED_VALUE"""),"x")</f>
        <v>x</v>
      </c>
      <c r="I1559" s="19" t="str">
        <f>IFERROR(__xludf.DUMMYFUNCTION("""COMPUTED_VALUE"""),"x")</f>
        <v>x</v>
      </c>
      <c r="J1559" s="20" t="str">
        <f>IFERROR(__xludf.DUMMYFUNCTION("""COMPUTED_VALUE"""),"x")</f>
        <v>x</v>
      </c>
      <c r="K1559" s="19" t="str">
        <f>IFERROR(__xludf.DUMMYFUNCTION("""COMPUTED_VALUE"""),"x")</f>
        <v>x</v>
      </c>
      <c r="L1559" s="20" t="str">
        <f>IFERROR(__xludf.DUMMYFUNCTION("""COMPUTED_VALUE"""),"x")</f>
        <v>x</v>
      </c>
      <c r="M1559" s="19" t="str">
        <f>IFERROR(__xludf.DUMMYFUNCTION("""COMPUTED_VALUE"""),"PCM")</f>
        <v>PCM</v>
      </c>
      <c r="N1559" s="19" t="str">
        <f>IFERROR(__xludf.DUMMYFUNCTION("""COMPUTED_VALUE"""),"PRIORIDAD 1 Q3 2023 OCTUBRE")</f>
        <v>PRIORIDAD 1 Q3 2023 OCTUBRE</v>
      </c>
    </row>
    <row r="1560" ht="15.75" customHeight="1">
      <c r="A1560" s="19" t="str">
        <f>IFERROR(__xludf.DUMMYFUNCTION("""COMPUTED_VALUE"""),"AB_6334")</f>
        <v>AB_6334</v>
      </c>
      <c r="B1560" s="19" t="str">
        <f>IFERROR(__xludf.DUMMYFUNCTION("""COMPUTED_VALUE"""),"AB_6334_A")</f>
        <v>AB_6334_A</v>
      </c>
      <c r="C1560" s="19" t="str">
        <f>IFERROR(__xludf.DUMMYFUNCTION("""COMPUTED_VALUE"""),"BI6334")</f>
        <v>BI6334</v>
      </c>
      <c r="D1560" s="19" t="str">
        <f>IFERROR(__xludf.DUMMYFUNCTION("""COMPUTED_VALUE"""),"El Alamo Norponiente")</f>
        <v>El Alamo Norponiente</v>
      </c>
      <c r="E1560" s="19" t="str">
        <f>IFERROR(__xludf.DUMMYFUNCTION("""COMPUTED_VALUE"""),"SITIO RFI")</f>
        <v>SITIO RFI</v>
      </c>
      <c r="F1560" s="19"/>
      <c r="G1560" s="19" t="str">
        <f>IFERROR(__xludf.DUMMYFUNCTION("""COMPUTED_VALUE"""),"x")</f>
        <v>x</v>
      </c>
      <c r="H1560" s="19" t="str">
        <f>IFERROR(__xludf.DUMMYFUNCTION("""COMPUTED_VALUE"""),"x")</f>
        <v>x</v>
      </c>
      <c r="I1560" s="19" t="str">
        <f>IFERROR(__xludf.DUMMYFUNCTION("""COMPUTED_VALUE"""),"x")</f>
        <v>x</v>
      </c>
      <c r="J1560" s="20" t="str">
        <f>IFERROR(__xludf.DUMMYFUNCTION("""COMPUTED_VALUE"""),"x")</f>
        <v>x</v>
      </c>
      <c r="K1560" s="19" t="str">
        <f>IFERROR(__xludf.DUMMYFUNCTION("""COMPUTED_VALUE"""),"x")</f>
        <v>x</v>
      </c>
      <c r="L1560" s="20" t="str">
        <f>IFERROR(__xludf.DUMMYFUNCTION("""COMPUTED_VALUE"""),"x")</f>
        <v>x</v>
      </c>
      <c r="M1560" s="19" t="str">
        <f>IFERROR(__xludf.DUMMYFUNCTION("""COMPUTED_VALUE"""),"PCM")</f>
        <v>PCM</v>
      </c>
      <c r="N1560" s="19" t="str">
        <f>IFERROR(__xludf.DUMMYFUNCTION("""COMPUTED_VALUE"""),"PRIORIDAD 1 Q3 2023 OCTUBRE")</f>
        <v>PRIORIDAD 1 Q3 2023 OCTUBRE</v>
      </c>
    </row>
    <row r="1561" ht="15.75" customHeight="1">
      <c r="A1561" s="19" t="str">
        <f>IFERROR(__xludf.DUMMYFUNCTION("""COMPUTED_VALUE"""),"AB_6682")</f>
        <v>AB_6682</v>
      </c>
      <c r="B1561" s="19" t="str">
        <f>IFERROR(__xludf.DUMMYFUNCTION("""COMPUTED_VALUE"""),"AB_6682_B")</f>
        <v>AB_6682_B</v>
      </c>
      <c r="C1561" s="19" t="str">
        <f>IFERROR(__xludf.DUMMYFUNCTION("""COMPUTED_VALUE"""),"BI6682")</f>
        <v>BI6682</v>
      </c>
      <c r="D1561" s="19" t="str">
        <f>IFERROR(__xludf.DUMMYFUNCTION("""COMPUTED_VALUE"""),"Los Sauces Talcahuano")</f>
        <v>Los Sauces Talcahuano</v>
      </c>
      <c r="E1561" s="19" t="str">
        <f>IFERROR(__xludf.DUMMYFUNCTION("""COMPUTED_VALUE"""),"SITIO RFI")</f>
        <v>SITIO RFI</v>
      </c>
      <c r="F1561" s="19"/>
      <c r="G1561" s="19" t="str">
        <f>IFERROR(__xludf.DUMMYFUNCTION("""COMPUTED_VALUE"""),"x")</f>
        <v>x</v>
      </c>
      <c r="H1561" s="19" t="str">
        <f>IFERROR(__xludf.DUMMYFUNCTION("""COMPUTED_VALUE"""),"x")</f>
        <v>x</v>
      </c>
      <c r="I1561" s="19" t="str">
        <f>IFERROR(__xludf.DUMMYFUNCTION("""COMPUTED_VALUE"""),"x")</f>
        <v>x</v>
      </c>
      <c r="J1561" s="20" t="str">
        <f>IFERROR(__xludf.DUMMYFUNCTION("""COMPUTED_VALUE"""),"x")</f>
        <v>x</v>
      </c>
      <c r="K1561" s="19" t="str">
        <f>IFERROR(__xludf.DUMMYFUNCTION("""COMPUTED_VALUE"""),"x")</f>
        <v>x</v>
      </c>
      <c r="L1561" s="20" t="str">
        <f>IFERROR(__xludf.DUMMYFUNCTION("""COMPUTED_VALUE"""),"x")</f>
        <v>x</v>
      </c>
      <c r="M1561" s="19" t="str">
        <f>IFERROR(__xludf.DUMMYFUNCTION("""COMPUTED_VALUE"""),"PCM")</f>
        <v>PCM</v>
      </c>
      <c r="N1561" s="19" t="str">
        <f>IFERROR(__xludf.DUMMYFUNCTION("""COMPUTED_VALUE"""),"PRIORIDAD 1 Q3 2023 OCTUBRE")</f>
        <v>PRIORIDAD 1 Q3 2023 OCTUBRE</v>
      </c>
    </row>
    <row r="1562" ht="15.75" customHeight="1">
      <c r="A1562" s="19" t="str">
        <f>IFERROR(__xludf.DUMMYFUNCTION("""COMPUTED_VALUE"""),"AB_7044")</f>
        <v>AB_7044</v>
      </c>
      <c r="B1562" s="19" t="str">
        <f>IFERROR(__xludf.DUMMYFUNCTION("""COMPUTED_VALUE"""),"AB_7044_B")</f>
        <v>AB_7044_B</v>
      </c>
      <c r="C1562" s="19" t="str">
        <f>IFERROR(__xludf.DUMMYFUNCTION("""COMPUTED_VALUE"""),"BI7044")</f>
        <v>BI7044</v>
      </c>
      <c r="D1562" s="19" t="str">
        <f>IFERROR(__xludf.DUMMYFUNCTION("""COMPUTED_VALUE"""),"Bosques de San Pedro")</f>
        <v>Bosques de San Pedro</v>
      </c>
      <c r="E1562" s="19" t="str">
        <f>IFERROR(__xludf.DUMMYFUNCTION("""COMPUTED_VALUE"""),"SITIO RFI")</f>
        <v>SITIO RFI</v>
      </c>
      <c r="F1562" s="19"/>
      <c r="G1562" s="19" t="str">
        <f>IFERROR(__xludf.DUMMYFUNCTION("""COMPUTED_VALUE"""),"x")</f>
        <v>x</v>
      </c>
      <c r="H1562" s="19" t="str">
        <f>IFERROR(__xludf.DUMMYFUNCTION("""COMPUTED_VALUE"""),"x")</f>
        <v>x</v>
      </c>
      <c r="I1562" s="19" t="str">
        <f>IFERROR(__xludf.DUMMYFUNCTION("""COMPUTED_VALUE"""),"x")</f>
        <v>x</v>
      </c>
      <c r="J1562" s="20" t="str">
        <f>IFERROR(__xludf.DUMMYFUNCTION("""COMPUTED_VALUE"""),"x")</f>
        <v>x</v>
      </c>
      <c r="K1562" s="19" t="str">
        <f>IFERROR(__xludf.DUMMYFUNCTION("""COMPUTED_VALUE"""),"x")</f>
        <v>x</v>
      </c>
      <c r="L1562" s="20" t="str">
        <f>IFERROR(__xludf.DUMMYFUNCTION("""COMPUTED_VALUE"""),"x")</f>
        <v>x</v>
      </c>
      <c r="M1562" s="19" t="str">
        <f>IFERROR(__xludf.DUMMYFUNCTION("""COMPUTED_VALUE"""),"PCM_2")</f>
        <v>PCM_2</v>
      </c>
      <c r="N1562" s="19" t="str">
        <f>IFERROR(__xludf.DUMMYFUNCTION("""COMPUTED_VALUE"""),"PRIORIDAD 1 Q3 2023 OCTUBRE")</f>
        <v>PRIORIDAD 1 Q3 2023 OCTUBRE</v>
      </c>
    </row>
    <row r="1563" ht="15.75" customHeight="1">
      <c r="A1563" s="19" t="str">
        <f>IFERROR(__xludf.DUMMYFUNCTION("""COMPUTED_VALUE"""),"AB_7256")</f>
        <v>AB_7256</v>
      </c>
      <c r="B1563" s="19" t="str">
        <f>IFERROR(__xludf.DUMMYFUNCTION("""COMPUTED_VALUE"""),"AB_7256_A")</f>
        <v>AB_7256_A</v>
      </c>
      <c r="C1563" s="19" t="str">
        <f>IFERROR(__xludf.DUMMYFUNCTION("""COMPUTED_VALUE"""),"BI7256")</f>
        <v>BI7256</v>
      </c>
      <c r="D1563" s="19" t="str">
        <f>IFERROR(__xludf.DUMMYFUNCTION("""COMPUTED_VALUE"""),"Cancha California Tome")</f>
        <v>Cancha California Tome</v>
      </c>
      <c r="E1563" s="19" t="str">
        <f>IFERROR(__xludf.DUMMYFUNCTION("""COMPUTED_VALUE"""),"SITIO RFI")</f>
        <v>SITIO RFI</v>
      </c>
      <c r="F1563" s="19"/>
      <c r="G1563" s="19" t="str">
        <f>IFERROR(__xludf.DUMMYFUNCTION("""COMPUTED_VALUE"""),"x")</f>
        <v>x</v>
      </c>
      <c r="H1563" s="19" t="str">
        <f>IFERROR(__xludf.DUMMYFUNCTION("""COMPUTED_VALUE"""),"x")</f>
        <v>x</v>
      </c>
      <c r="I1563" s="19" t="str">
        <f>IFERROR(__xludf.DUMMYFUNCTION("""COMPUTED_VALUE"""),"x")</f>
        <v>x</v>
      </c>
      <c r="J1563" s="20" t="str">
        <f>IFERROR(__xludf.DUMMYFUNCTION("""COMPUTED_VALUE"""),"x")</f>
        <v>x</v>
      </c>
      <c r="K1563" s="19" t="str">
        <f>IFERROR(__xludf.DUMMYFUNCTION("""COMPUTED_VALUE"""),"x")</f>
        <v>x</v>
      </c>
      <c r="L1563" s="20" t="str">
        <f>IFERROR(__xludf.DUMMYFUNCTION("""COMPUTED_VALUE"""),"x")</f>
        <v>x</v>
      </c>
      <c r="M1563" s="19" t="str">
        <f>IFERROR(__xludf.DUMMYFUNCTION("""COMPUTED_VALUE"""),"PCM")</f>
        <v>PCM</v>
      </c>
      <c r="N1563" s="19" t="str">
        <f>IFERROR(__xludf.DUMMYFUNCTION("""COMPUTED_VALUE"""),"PRIORIDAD 1 Q3 2023 OCTUBRE")</f>
        <v>PRIORIDAD 1 Q3 2023 OCTUBRE</v>
      </c>
    </row>
    <row r="1564" ht="15.75" customHeight="1">
      <c r="A1564" s="19" t="str">
        <f>IFERROR(__xludf.DUMMYFUNCTION("""COMPUTED_VALUE"""),"AB_7317")</f>
        <v>AB_7317</v>
      </c>
      <c r="B1564" s="19" t="str">
        <f>IFERROR(__xludf.DUMMYFUNCTION("""COMPUTED_VALUE"""),"AB_7317_B")</f>
        <v>AB_7317_B</v>
      </c>
      <c r="C1564" s="19" t="str">
        <f>IFERROR(__xludf.DUMMYFUNCTION("""COMPUTED_VALUE"""),"BI7317")</f>
        <v>BI7317</v>
      </c>
      <c r="D1564" s="19" t="str">
        <f>IFERROR(__xludf.DUMMYFUNCTION("""COMPUTED_VALUE"""),"Ramon Rabal Curanilahue")</f>
        <v>Ramon Rabal Curanilahue</v>
      </c>
      <c r="E1564" s="19" t="str">
        <f>IFERROR(__xludf.DUMMYFUNCTION("""COMPUTED_VALUE"""),"SITIO RFI")</f>
        <v>SITIO RFI</v>
      </c>
      <c r="F1564" s="19"/>
      <c r="G1564" s="19" t="str">
        <f>IFERROR(__xludf.DUMMYFUNCTION("""COMPUTED_VALUE"""),"x")</f>
        <v>x</v>
      </c>
      <c r="H1564" s="19" t="str">
        <f>IFERROR(__xludf.DUMMYFUNCTION("""COMPUTED_VALUE"""),"x")</f>
        <v>x</v>
      </c>
      <c r="I1564" s="19" t="str">
        <f>IFERROR(__xludf.DUMMYFUNCTION("""COMPUTED_VALUE"""),"x")</f>
        <v>x</v>
      </c>
      <c r="J1564" s="20" t="str">
        <f>IFERROR(__xludf.DUMMYFUNCTION("""COMPUTED_VALUE"""),"x")</f>
        <v>x</v>
      </c>
      <c r="K1564" s="19" t="str">
        <f>IFERROR(__xludf.DUMMYFUNCTION("""COMPUTED_VALUE"""),"x")</f>
        <v>x</v>
      </c>
      <c r="L1564" s="20" t="str">
        <f>IFERROR(__xludf.DUMMYFUNCTION("""COMPUTED_VALUE"""),"x")</f>
        <v>x</v>
      </c>
      <c r="M1564" s="19" t="str">
        <f>IFERROR(__xludf.DUMMYFUNCTION("""COMPUTED_VALUE"""),"PCM")</f>
        <v>PCM</v>
      </c>
      <c r="N1564" s="19" t="str">
        <f>IFERROR(__xludf.DUMMYFUNCTION("""COMPUTED_VALUE"""),"PRIORIDAD 1 Q3 2023 OCTUBRE")</f>
        <v>PRIORIDAD 1 Q3 2023 OCTUBRE</v>
      </c>
    </row>
    <row r="1565" ht="15.75" customHeight="1">
      <c r="A1565" s="19" t="str">
        <f>IFERROR(__xludf.DUMMYFUNCTION("""COMPUTED_VALUE"""),"AB_7685")</f>
        <v>AB_7685</v>
      </c>
      <c r="B1565" s="19" t="str">
        <f>IFERROR(__xludf.DUMMYFUNCTION("""COMPUTED_VALUE"""),"AB_7685_D")</f>
        <v>AB_7685_D</v>
      </c>
      <c r="C1565" s="19" t="str">
        <f>IFERROR(__xludf.DUMMYFUNCTION("""COMPUTED_VALUE"""),"BI7685")</f>
        <v>BI7685</v>
      </c>
      <c r="D1565" s="19" t="str">
        <f>IFERROR(__xludf.DUMMYFUNCTION("""COMPUTED_VALUE"""),"Talcahuano Muelle")</f>
        <v>Talcahuano Muelle</v>
      </c>
      <c r="E1565" s="19" t="str">
        <f>IFERROR(__xludf.DUMMYFUNCTION("""COMPUTED_VALUE"""),"SITIO PENDIENTE")</f>
        <v>SITIO PENDIENTE</v>
      </c>
      <c r="F1565" s="19"/>
      <c r="G1565" s="19" t="str">
        <f>IFERROR(__xludf.DUMMYFUNCTION("""COMPUTED_VALUE"""),"x")</f>
        <v>x</v>
      </c>
      <c r="H1565" s="19" t="str">
        <f>IFERROR(__xludf.DUMMYFUNCTION("""COMPUTED_VALUE"""),"x")</f>
        <v>x</v>
      </c>
      <c r="I1565" s="19" t="str">
        <f>IFERROR(__xludf.DUMMYFUNCTION("""COMPUTED_VALUE"""),"x")</f>
        <v>x</v>
      </c>
      <c r="J1565" s="20" t="str">
        <f>IFERROR(__xludf.DUMMYFUNCTION("""COMPUTED_VALUE"""),"x")</f>
        <v>x</v>
      </c>
      <c r="K1565" s="19" t="str">
        <f>IFERROR(__xludf.DUMMYFUNCTION("""COMPUTED_VALUE"""),"x")</f>
        <v>x</v>
      </c>
      <c r="L1565" s="20" t="str">
        <f>IFERROR(__xludf.DUMMYFUNCTION("""COMPUTED_VALUE"""),"x")</f>
        <v>x</v>
      </c>
      <c r="M1565" s="19" t="str">
        <f>IFERROR(__xludf.DUMMYFUNCTION("""COMPUTED_VALUE"""),"PCM")</f>
        <v>PCM</v>
      </c>
      <c r="N1565" s="19" t="str">
        <f>IFERROR(__xludf.DUMMYFUNCTION("""COMPUTED_VALUE"""),"PRIORIDAD 3 Q1 2024 MARZO")</f>
        <v>PRIORIDAD 3 Q1 2024 MARZO</v>
      </c>
    </row>
    <row r="1566" ht="15.75" customHeight="1">
      <c r="A1566" s="19" t="str">
        <f>IFERROR(__xludf.DUMMYFUNCTION("""COMPUTED_VALUE"""),"AB_8256")</f>
        <v>AB_8256</v>
      </c>
      <c r="B1566" s="19" t="str">
        <f>IFERROR(__xludf.DUMMYFUNCTION("""COMPUTED_VALUE"""),"AB_8256_D")</f>
        <v>AB_8256_D</v>
      </c>
      <c r="C1566" s="19" t="str">
        <f>IFERROR(__xludf.DUMMYFUNCTION("""COMPUTED_VALUE"""),"BI8256")</f>
        <v>BI8256</v>
      </c>
      <c r="D1566" s="19" t="str">
        <f>IFERROR(__xludf.DUMMYFUNCTION("""COMPUTED_VALUE"""),"Est Pedro Medina-FESUR")</f>
        <v>Est Pedro Medina-FESUR</v>
      </c>
      <c r="E1566" s="19" t="str">
        <f>IFERROR(__xludf.DUMMYFUNCTION("""COMPUTED_VALUE"""),"DETENIDO SAC")</f>
        <v>DETENIDO SAC</v>
      </c>
      <c r="F1566" s="19"/>
      <c r="G1566" s="19" t="str">
        <f>IFERROR(__xludf.DUMMYFUNCTION("""COMPUTED_VALUE"""),"x")</f>
        <v>x</v>
      </c>
      <c r="H1566" s="19" t="str">
        <f>IFERROR(__xludf.DUMMYFUNCTION("""COMPUTED_VALUE"""),"x")</f>
        <v>x</v>
      </c>
      <c r="I1566" s="19" t="str">
        <f>IFERROR(__xludf.DUMMYFUNCTION("""COMPUTED_VALUE"""),"x")</f>
        <v>x</v>
      </c>
      <c r="J1566" s="20" t="str">
        <f>IFERROR(__xludf.DUMMYFUNCTION("""COMPUTED_VALUE"""),"x")</f>
        <v>x</v>
      </c>
      <c r="K1566" s="19" t="str">
        <f>IFERROR(__xludf.DUMMYFUNCTION("""COMPUTED_VALUE"""),"x")</f>
        <v>x</v>
      </c>
      <c r="L1566" s="20" t="str">
        <f>IFERROR(__xludf.DUMMYFUNCTION("""COMPUTED_VALUE"""),"x")</f>
        <v>x</v>
      </c>
      <c r="M1566" s="19" t="str">
        <f>IFERROR(__xludf.DUMMYFUNCTION("""COMPUTED_VALUE"""),"PCM")</f>
        <v>PCM</v>
      </c>
      <c r="N1566" s="19" t="str">
        <f>IFERROR(__xludf.DUMMYFUNCTION("""COMPUTED_VALUE"""),"PRIORIDAD 3 Q1 2024 MARZO")</f>
        <v>PRIORIDAD 3 Q1 2024 MARZO</v>
      </c>
    </row>
    <row r="1567" ht="15.75" customHeight="1">
      <c r="A1567" s="19" t="str">
        <f>IFERROR(__xludf.DUMMYFUNCTION("""COMPUTED_VALUE"""),"AB_8305")</f>
        <v>AB_8305</v>
      </c>
      <c r="B1567" s="19" t="str">
        <f>IFERROR(__xludf.DUMMYFUNCTION("""COMPUTED_VALUE"""),"AB_8305_A")</f>
        <v>AB_8305_A</v>
      </c>
      <c r="C1567" s="19" t="str">
        <f>IFERROR(__xludf.DUMMYFUNCTION("""COMPUTED_VALUE"""),"BI8305")</f>
        <v>BI8305</v>
      </c>
      <c r="D1567" s="19" t="str">
        <f>IFERROR(__xludf.DUMMYFUNCTION("""COMPUTED_VALUE"""),"Tome Nororiente RU1")</f>
        <v>Tome Nororiente RU1</v>
      </c>
      <c r="E1567" s="19" t="str">
        <f>IFERROR(__xludf.DUMMYFUNCTION("""COMPUTED_VALUE"""),"SITIO RFI")</f>
        <v>SITIO RFI</v>
      </c>
      <c r="F1567" s="19"/>
      <c r="G1567" s="19" t="str">
        <f>IFERROR(__xludf.DUMMYFUNCTION("""COMPUTED_VALUE"""),"x")</f>
        <v>x</v>
      </c>
      <c r="H1567" s="19" t="str">
        <f>IFERROR(__xludf.DUMMYFUNCTION("""COMPUTED_VALUE"""),"x")</f>
        <v>x</v>
      </c>
      <c r="I1567" s="19" t="str">
        <f>IFERROR(__xludf.DUMMYFUNCTION("""COMPUTED_VALUE"""),"x")</f>
        <v>x</v>
      </c>
      <c r="J1567" s="20" t="str">
        <f>IFERROR(__xludf.DUMMYFUNCTION("""COMPUTED_VALUE"""),"x")</f>
        <v>x</v>
      </c>
      <c r="K1567" s="19" t="str">
        <f>IFERROR(__xludf.DUMMYFUNCTION("""COMPUTED_VALUE"""),"x")</f>
        <v>x</v>
      </c>
      <c r="L1567" s="20" t="str">
        <f>IFERROR(__xludf.DUMMYFUNCTION("""COMPUTED_VALUE"""),"x")</f>
        <v>x</v>
      </c>
      <c r="M1567" s="19" t="str">
        <f>IFERROR(__xludf.DUMMYFUNCTION("""COMPUTED_VALUE"""),"PCM_4")</f>
        <v>PCM_4</v>
      </c>
      <c r="N1567" s="19" t="str">
        <f>IFERROR(__xludf.DUMMYFUNCTION("""COMPUTED_VALUE"""),"PCM_5")</f>
        <v>PCM_5</v>
      </c>
    </row>
    <row r="1568" ht="15.75" customHeight="1">
      <c r="A1568" s="19" t="str">
        <f>IFERROR(__xludf.DUMMYFUNCTION("""COMPUTED_VALUE"""),"AB_10155")</f>
        <v>AB_10155</v>
      </c>
      <c r="B1568" s="19" t="str">
        <f>IFERROR(__xludf.DUMMYFUNCTION("""COMPUTED_VALUE"""),"AB_10155_B")</f>
        <v>AB_10155_B</v>
      </c>
      <c r="C1568" s="19" t="str">
        <f>IFERROR(__xludf.DUMMYFUNCTION("""COMPUTED_VALUE"""),"CO10155")</f>
        <v>CO10155</v>
      </c>
      <c r="D1568" s="19" t="str">
        <f>IFERROR(__xludf.DUMMYFUNCTION("""COMPUTED_VALUE"""),"Aeropuerto La Florida")</f>
        <v>Aeropuerto La Florida</v>
      </c>
      <c r="E1568" s="19" t="str">
        <f>IFERROR(__xludf.DUMMYFUNCTION("""COMPUTED_VALUE"""),"SITIO RFI")</f>
        <v>SITIO RFI</v>
      </c>
      <c r="F1568" s="19"/>
      <c r="G1568" s="19" t="str">
        <f>IFERROR(__xludf.DUMMYFUNCTION("""COMPUTED_VALUE"""),"x")</f>
        <v>x</v>
      </c>
      <c r="H1568" s="19" t="str">
        <f>IFERROR(__xludf.DUMMYFUNCTION("""COMPUTED_VALUE"""),"x")</f>
        <v>x</v>
      </c>
      <c r="I1568" s="19" t="str">
        <f>IFERROR(__xludf.DUMMYFUNCTION("""COMPUTED_VALUE"""),"x")</f>
        <v>x</v>
      </c>
      <c r="J1568" s="20" t="str">
        <f>IFERROR(__xludf.DUMMYFUNCTION("""COMPUTED_VALUE"""),"x")</f>
        <v>x</v>
      </c>
      <c r="K1568" s="19" t="str">
        <f>IFERROR(__xludf.DUMMYFUNCTION("""COMPUTED_VALUE"""),"x")</f>
        <v>x</v>
      </c>
      <c r="L1568" s="20" t="str">
        <f>IFERROR(__xludf.DUMMYFUNCTION("""COMPUTED_VALUE"""),"x")</f>
        <v>x</v>
      </c>
      <c r="M1568" s="19" t="str">
        <f>IFERROR(__xludf.DUMMYFUNCTION("""COMPUTED_VALUE"""),"PCM")</f>
        <v>PCM</v>
      </c>
      <c r="N1568" s="19" t="str">
        <f>IFERROR(__xludf.DUMMYFUNCTION("""COMPUTED_VALUE"""),"PRIORIDAD 1 Q3 2023 OCTUBRE")</f>
        <v>PRIORIDAD 1 Q3 2023 OCTUBRE</v>
      </c>
    </row>
    <row r="1569" ht="15.75" customHeight="1">
      <c r="A1569" s="19" t="str">
        <f>IFERROR(__xludf.DUMMYFUNCTION("""COMPUTED_VALUE"""),"AB_3760")</f>
        <v>AB_3760</v>
      </c>
      <c r="B1569" s="19" t="str">
        <f>IFERROR(__xludf.DUMMYFUNCTION("""COMPUTED_VALUE"""),"AB_3760_D")</f>
        <v>AB_3760_D</v>
      </c>
      <c r="C1569" s="19" t="str">
        <f>IFERROR(__xludf.DUMMYFUNCTION("""COMPUTED_VALUE"""),"CO3760")</f>
        <v>CO3760</v>
      </c>
      <c r="D1569" s="19" t="str">
        <f>IFERROR(__xludf.DUMMYFUNCTION("""COMPUTED_VALUE"""),"Sargento Aldea Andacollo")</f>
        <v>Sargento Aldea Andacollo</v>
      </c>
      <c r="E1569" s="19" t="str">
        <f>IFERROR(__xludf.DUMMYFUNCTION("""COMPUTED_VALUE"""),"SITIO RFI")</f>
        <v>SITIO RFI</v>
      </c>
      <c r="F1569" s="19"/>
      <c r="G1569" s="19" t="str">
        <f>IFERROR(__xludf.DUMMYFUNCTION("""COMPUTED_VALUE"""),"x")</f>
        <v>x</v>
      </c>
      <c r="H1569" s="19" t="str">
        <f>IFERROR(__xludf.DUMMYFUNCTION("""COMPUTED_VALUE"""),"x")</f>
        <v>x</v>
      </c>
      <c r="I1569" s="19" t="str">
        <f>IFERROR(__xludf.DUMMYFUNCTION("""COMPUTED_VALUE"""),"x")</f>
        <v>x</v>
      </c>
      <c r="J1569" s="20" t="str">
        <f>IFERROR(__xludf.DUMMYFUNCTION("""COMPUTED_VALUE"""),"x")</f>
        <v>x</v>
      </c>
      <c r="K1569" s="19" t="str">
        <f>IFERROR(__xludf.DUMMYFUNCTION("""COMPUTED_VALUE"""),"x")</f>
        <v>x</v>
      </c>
      <c r="L1569" s="20" t="str">
        <f>IFERROR(__xludf.DUMMYFUNCTION("""COMPUTED_VALUE"""),"x")</f>
        <v>x</v>
      </c>
      <c r="M1569" s="19" t="str">
        <f>IFERROR(__xludf.DUMMYFUNCTION("""COMPUTED_VALUE"""),"PCM")</f>
        <v>PCM</v>
      </c>
      <c r="N1569" s="19" t="str">
        <f>IFERROR(__xludf.DUMMYFUNCTION("""COMPUTED_VALUE"""),"PRIORIDAD 1 Q3 2023 OCTUBRE")</f>
        <v>PRIORIDAD 1 Q3 2023 OCTUBRE</v>
      </c>
    </row>
    <row r="1570" ht="15.75" customHeight="1">
      <c r="A1570" s="19" t="str">
        <f>IFERROR(__xludf.DUMMYFUNCTION("""COMPUTED_VALUE"""),"AB_6598")</f>
        <v>AB_6598</v>
      </c>
      <c r="B1570" s="19" t="str">
        <f>IFERROR(__xludf.DUMMYFUNCTION("""COMPUTED_VALUE"""),"AB_6598_B")</f>
        <v>AB_6598_B</v>
      </c>
      <c r="C1570" s="19" t="str">
        <f>IFERROR(__xludf.DUMMYFUNCTION("""COMPUTED_VALUE"""),"CO6598")</f>
        <v>CO6598</v>
      </c>
      <c r="D1570" s="19" t="str">
        <f>IFERROR(__xludf.DUMMYFUNCTION("""COMPUTED_VALUE"""),"Av. Pacifico Los Copaos")</f>
        <v>Av. Pacifico Los Copaos</v>
      </c>
      <c r="E1570" s="19" t="str">
        <f>IFERROR(__xludf.DUMMYFUNCTION("""COMPUTED_VALUE"""),"SITIO RFI")</f>
        <v>SITIO RFI</v>
      </c>
      <c r="F1570" s="19"/>
      <c r="G1570" s="19" t="str">
        <f>IFERROR(__xludf.DUMMYFUNCTION("""COMPUTED_VALUE"""),"x")</f>
        <v>x</v>
      </c>
      <c r="H1570" s="19" t="str">
        <f>IFERROR(__xludf.DUMMYFUNCTION("""COMPUTED_VALUE"""),"x")</f>
        <v>x</v>
      </c>
      <c r="I1570" s="19" t="str">
        <f>IFERROR(__xludf.DUMMYFUNCTION("""COMPUTED_VALUE"""),"x")</f>
        <v>x</v>
      </c>
      <c r="J1570" s="20" t="str">
        <f>IFERROR(__xludf.DUMMYFUNCTION("""COMPUTED_VALUE"""),"x")</f>
        <v>x</v>
      </c>
      <c r="K1570" s="19" t="str">
        <f>IFERROR(__xludf.DUMMYFUNCTION("""COMPUTED_VALUE"""),"x")</f>
        <v>x</v>
      </c>
      <c r="L1570" s="20" t="str">
        <f>IFERROR(__xludf.DUMMYFUNCTION("""COMPUTED_VALUE"""),"x")</f>
        <v>x</v>
      </c>
      <c r="M1570" s="19" t="str">
        <f>IFERROR(__xludf.DUMMYFUNCTION("""COMPUTED_VALUE"""),"PCM")</f>
        <v>PCM</v>
      </c>
      <c r="N1570" s="19" t="str">
        <f>IFERROR(__xludf.DUMMYFUNCTION("""COMPUTED_VALUE"""),"PRIORIDAD 1 Q3 2023 OCTUBRE")</f>
        <v>PRIORIDAD 1 Q3 2023 OCTUBRE</v>
      </c>
    </row>
    <row r="1571" ht="15.75" customHeight="1">
      <c r="A1571" s="19" t="str">
        <f>IFERROR(__xludf.DUMMYFUNCTION("""COMPUTED_VALUE"""),"AB_8537")</f>
        <v>AB_8537</v>
      </c>
      <c r="B1571" s="19" t="str">
        <f>IFERROR(__xludf.DUMMYFUNCTION("""COMPUTED_VALUE"""),"AB_8537_A")</f>
        <v>AB_8537_A</v>
      </c>
      <c r="C1571" s="19" t="str">
        <f>IFERROR(__xludf.DUMMYFUNCTION("""COMPUTED_VALUE"""),"CO8537")</f>
        <v>CO8537</v>
      </c>
      <c r="D1571" s="19" t="str">
        <f>IFERROR(__xludf.DUMMYFUNCTION("""COMPUTED_VALUE"""),"Embalse Puclaro")</f>
        <v>Embalse Puclaro</v>
      </c>
      <c r="E1571" s="19" t="str">
        <f>IFERROR(__xludf.DUMMYFUNCTION("""COMPUTED_VALUE"""),"SITIO RFI")</f>
        <v>SITIO RFI</v>
      </c>
      <c r="F1571" s="19"/>
      <c r="G1571" s="19" t="str">
        <f>IFERROR(__xludf.DUMMYFUNCTION("""COMPUTED_VALUE"""),"x")</f>
        <v>x</v>
      </c>
      <c r="H1571" s="19" t="str">
        <f>IFERROR(__xludf.DUMMYFUNCTION("""COMPUTED_VALUE"""),"x")</f>
        <v>x</v>
      </c>
      <c r="I1571" s="19" t="str">
        <f>IFERROR(__xludf.DUMMYFUNCTION("""COMPUTED_VALUE"""),"x")</f>
        <v>x</v>
      </c>
      <c r="J1571" s="20" t="str">
        <f>IFERROR(__xludf.DUMMYFUNCTION("""COMPUTED_VALUE"""),"x")</f>
        <v>x</v>
      </c>
      <c r="K1571" s="19" t="str">
        <f>IFERROR(__xludf.DUMMYFUNCTION("""COMPUTED_VALUE"""),"x")</f>
        <v>x</v>
      </c>
      <c r="L1571" s="20" t="str">
        <f>IFERROR(__xludf.DUMMYFUNCTION("""COMPUTED_VALUE"""),"x")</f>
        <v>x</v>
      </c>
      <c r="M1571" s="19" t="str">
        <f>IFERROR(__xludf.DUMMYFUNCTION("""COMPUTED_VALUE"""),"LLOO")</f>
        <v>LLOO</v>
      </c>
      <c r="N1571" s="19" t="str">
        <f>IFERROR(__xludf.DUMMYFUNCTION("""COMPUTED_VALUE"""),"PRIORIDAD 1 Q3 2023 OCTUBRE")</f>
        <v>PRIORIDAD 1 Q3 2023 OCTUBRE</v>
      </c>
    </row>
    <row r="1572" ht="15.75" customHeight="1">
      <c r="A1572" s="19" t="str">
        <f>IFERROR(__xludf.DUMMYFUNCTION("""COMPUTED_VALUE"""),"AB_9109")</f>
        <v>AB_9109</v>
      </c>
      <c r="B1572" s="19" t="str">
        <f>IFERROR(__xludf.DUMMYFUNCTION("""COMPUTED_VALUE"""),"AB_9109_D")</f>
        <v>AB_9109_D</v>
      </c>
      <c r="C1572" s="19" t="str">
        <f>IFERROR(__xludf.DUMMYFUNCTION("""COMPUTED_VALUE"""),"CO9109")</f>
        <v>CO9109</v>
      </c>
      <c r="D1572" s="19" t="str">
        <f>IFERROR(__xludf.DUMMYFUNCTION("""COMPUTED_VALUE"""),"Pisco Elqui")</f>
        <v>Pisco Elqui</v>
      </c>
      <c r="E1572" s="19" t="str">
        <f>IFERROR(__xludf.DUMMYFUNCTION("""COMPUTED_VALUE"""),"SITIO RFI")</f>
        <v>SITIO RFI</v>
      </c>
      <c r="F1572" s="19"/>
      <c r="G1572" s="19" t="str">
        <f>IFERROR(__xludf.DUMMYFUNCTION("""COMPUTED_VALUE"""),"x")</f>
        <v>x</v>
      </c>
      <c r="H1572" s="19" t="str">
        <f>IFERROR(__xludf.DUMMYFUNCTION("""COMPUTED_VALUE"""),"x")</f>
        <v>x</v>
      </c>
      <c r="I1572" s="19" t="str">
        <f>IFERROR(__xludf.DUMMYFUNCTION("""COMPUTED_VALUE"""),"x")</f>
        <v>x</v>
      </c>
      <c r="J1572" s="20" t="str">
        <f>IFERROR(__xludf.DUMMYFUNCTION("""COMPUTED_VALUE"""),"x")</f>
        <v>x</v>
      </c>
      <c r="K1572" s="19" t="str">
        <f>IFERROR(__xludf.DUMMYFUNCTION("""COMPUTED_VALUE"""),"x")</f>
        <v>x</v>
      </c>
      <c r="L1572" s="20" t="str">
        <f>IFERROR(__xludf.DUMMYFUNCTION("""COMPUTED_VALUE"""),"x")</f>
        <v>x</v>
      </c>
      <c r="M1572" s="19" t="str">
        <f>IFERROR(__xludf.DUMMYFUNCTION("""COMPUTED_VALUE"""),"PCM")</f>
        <v>PCM</v>
      </c>
      <c r="N1572" s="19" t="str">
        <f>IFERROR(__xludf.DUMMYFUNCTION("""COMPUTED_VALUE"""),"PRIORIDAD 1 Q3 2023 OCTUBRE")</f>
        <v>PRIORIDAD 1 Q3 2023 OCTUBRE</v>
      </c>
    </row>
    <row r="1573" ht="15.75" customHeight="1">
      <c r="A1573" s="19" t="str">
        <f>IFERROR(__xludf.DUMMYFUNCTION("""COMPUTED_VALUE"""),"AB_9609")</f>
        <v>AB_9609</v>
      </c>
      <c r="B1573" s="19" t="str">
        <f>IFERROR(__xludf.DUMMYFUNCTION("""COMPUTED_VALUE"""),"AB_9609_H")</f>
        <v>AB_9609_H</v>
      </c>
      <c r="C1573" s="19" t="str">
        <f>IFERROR(__xludf.DUMMYFUNCTION("""COMPUTED_VALUE"""),"CO9609")</f>
        <v>CO9609</v>
      </c>
      <c r="D1573" s="19" t="str">
        <f>IFERROR(__xludf.DUMMYFUNCTION("""COMPUTED_VALUE"""),"Cuesta El Teniente")</f>
        <v>Cuesta El Teniente</v>
      </c>
      <c r="E1573" s="19" t="str">
        <f>IFERROR(__xludf.DUMMYFUNCTION("""COMPUTED_VALUE"""),"SITIO FIRMADO")</f>
        <v>SITIO FIRMADO</v>
      </c>
      <c r="F1573" s="19"/>
      <c r="G1573" s="19" t="str">
        <f>IFERROR(__xludf.DUMMYFUNCTION("""COMPUTED_VALUE"""),"x")</f>
        <v>x</v>
      </c>
      <c r="H1573" s="19" t="str">
        <f>IFERROR(__xludf.DUMMYFUNCTION("""COMPUTED_VALUE"""),"x")</f>
        <v>x</v>
      </c>
      <c r="I1573" s="19" t="str">
        <f>IFERROR(__xludf.DUMMYFUNCTION("""COMPUTED_VALUE"""),"x")</f>
        <v>x</v>
      </c>
      <c r="J1573" s="20" t="str">
        <f>IFERROR(__xludf.DUMMYFUNCTION("""COMPUTED_VALUE"""),"x")</f>
        <v>x</v>
      </c>
      <c r="K1573" s="19" t="str">
        <f>IFERROR(__xludf.DUMMYFUNCTION("""COMPUTED_VALUE"""),"x")</f>
        <v>x</v>
      </c>
      <c r="L1573" s="20" t="str">
        <f>IFERROR(__xludf.DUMMYFUNCTION("""COMPUTED_VALUE"""),"x")</f>
        <v>x</v>
      </c>
      <c r="M1573" s="19" t="str">
        <f>IFERROR(__xludf.DUMMYFUNCTION("""COMPUTED_VALUE"""),"PP")</f>
        <v>PP</v>
      </c>
      <c r="N1573" s="19" t="str">
        <f>IFERROR(__xludf.DUMMYFUNCTION("""COMPUTED_VALUE"""),"PRIORIDAD 1 Q3 2023 OCTUBRE")</f>
        <v>PRIORIDAD 1 Q3 2023 OCTUBRE</v>
      </c>
    </row>
    <row r="1574" ht="15.75" customHeight="1">
      <c r="A1574" s="19" t="str">
        <f>IFERROR(__xludf.DUMMYFUNCTION("""COMPUTED_VALUE"""),"AB_10226")</f>
        <v>AB_10226</v>
      </c>
      <c r="B1574" s="19" t="str">
        <f>IFERROR(__xludf.DUMMYFUNCTION("""COMPUTED_VALUE"""),"AB_10226_E")</f>
        <v>AB_10226_E</v>
      </c>
      <c r="C1574" s="19" t="str">
        <f>IFERROR(__xludf.DUMMYFUNCTION("""COMPUTED_VALUE"""),"LL10226")</f>
        <v>LL10226</v>
      </c>
      <c r="D1574" s="19" t="str">
        <f>IFERROR(__xludf.DUMMYFUNCTION("""COMPUTED_VALUE"""),"Universidad Austral Pelluhuin")</f>
        <v>Universidad Austral Pelluhuin</v>
      </c>
      <c r="E1574" s="19" t="str">
        <f>IFERROR(__xludf.DUMMYFUNCTION("""COMPUTED_VALUE"""),"SITIO RFI")</f>
        <v>SITIO RFI</v>
      </c>
      <c r="F1574" s="19"/>
      <c r="G1574" s="19" t="str">
        <f>IFERROR(__xludf.DUMMYFUNCTION("""COMPUTED_VALUE"""),"x")</f>
        <v>x</v>
      </c>
      <c r="H1574" s="19" t="str">
        <f>IFERROR(__xludf.DUMMYFUNCTION("""COMPUTED_VALUE"""),"x")</f>
        <v>x</v>
      </c>
      <c r="I1574" s="19" t="str">
        <f>IFERROR(__xludf.DUMMYFUNCTION("""COMPUTED_VALUE"""),"x")</f>
        <v>x</v>
      </c>
      <c r="J1574" s="20" t="str">
        <f>IFERROR(__xludf.DUMMYFUNCTION("""COMPUTED_VALUE"""),"x")</f>
        <v>x</v>
      </c>
      <c r="K1574" s="19" t="str">
        <f>IFERROR(__xludf.DUMMYFUNCTION("""COMPUTED_VALUE"""),"x")</f>
        <v>x</v>
      </c>
      <c r="L1574" s="20" t="str">
        <f>IFERROR(__xludf.DUMMYFUNCTION("""COMPUTED_VALUE"""),"x")</f>
        <v>x</v>
      </c>
      <c r="M1574" s="19" t="str">
        <f>IFERROR(__xludf.DUMMYFUNCTION("""COMPUTED_VALUE"""),"PP")</f>
        <v>PP</v>
      </c>
      <c r="N1574" s="19" t="str">
        <f>IFERROR(__xludf.DUMMYFUNCTION("""COMPUTED_VALUE"""),"PRIORIDAD 1 Q3 2023 OCTUBRE")</f>
        <v>PRIORIDAD 1 Q3 2023 OCTUBRE</v>
      </c>
    </row>
    <row r="1575" ht="15.75" customHeight="1">
      <c r="A1575" s="19" t="str">
        <f>IFERROR(__xludf.DUMMYFUNCTION("""COMPUTED_VALUE"""),"AB_10282")</f>
        <v>AB_10282</v>
      </c>
      <c r="B1575" s="19" t="str">
        <f>IFERROR(__xludf.DUMMYFUNCTION("""COMPUTED_VALUE"""),"AB_10282_A")</f>
        <v>AB_10282_A</v>
      </c>
      <c r="C1575" s="19" t="str">
        <f>IFERROR(__xludf.DUMMYFUNCTION("""COMPUTED_VALUE"""),"LL10282")</f>
        <v>LL10282</v>
      </c>
      <c r="D1575" s="19" t="str">
        <f>IFERROR(__xludf.DUMMYFUNCTION("""COMPUTED_VALUE"""),"Puerto Chincul 5G")</f>
        <v>Puerto Chincul 5G</v>
      </c>
      <c r="E1575" s="19" t="str">
        <f>IFERROR(__xludf.DUMMYFUNCTION("""COMPUTED_VALUE"""),"SITIO RFI")</f>
        <v>SITIO RFI</v>
      </c>
      <c r="F1575" s="19"/>
      <c r="G1575" s="19" t="str">
        <f>IFERROR(__xludf.DUMMYFUNCTION("""COMPUTED_VALUE"""),"x")</f>
        <v>x</v>
      </c>
      <c r="H1575" s="19" t="str">
        <f>IFERROR(__xludf.DUMMYFUNCTION("""COMPUTED_VALUE"""),"x")</f>
        <v>x</v>
      </c>
      <c r="I1575" s="19" t="str">
        <f>IFERROR(__xludf.DUMMYFUNCTION("""COMPUTED_VALUE"""),"x")</f>
        <v>x</v>
      </c>
      <c r="J1575" s="20" t="str">
        <f>IFERROR(__xludf.DUMMYFUNCTION("""COMPUTED_VALUE"""),"x")</f>
        <v>x</v>
      </c>
      <c r="K1575" s="19" t="str">
        <f>IFERROR(__xludf.DUMMYFUNCTION("""COMPUTED_VALUE"""),"x")</f>
        <v>x</v>
      </c>
      <c r="L1575" s="20" t="str">
        <f>IFERROR(__xludf.DUMMYFUNCTION("""COMPUTED_VALUE"""),"x")</f>
        <v>x</v>
      </c>
      <c r="M1575" s="19" t="str">
        <f>IFERROR(__xludf.DUMMYFUNCTION("""COMPUTED_VALUE"""),"PP")</f>
        <v>PP</v>
      </c>
      <c r="N1575" s="19" t="str">
        <f>IFERROR(__xludf.DUMMYFUNCTION("""COMPUTED_VALUE"""),"PRIORIDAD 1 Q3 2023 OCTUBRE")</f>
        <v>PRIORIDAD 1 Q3 2023 OCTUBRE</v>
      </c>
    </row>
    <row r="1576" ht="15.75" customHeight="1">
      <c r="A1576" s="19" t="str">
        <f>IFERROR(__xludf.DUMMYFUNCTION("""COMPUTED_VALUE"""),"AB_10769")</f>
        <v>AB_10769</v>
      </c>
      <c r="B1576" s="19" t="str">
        <f>IFERROR(__xludf.DUMMYFUNCTION("""COMPUTED_VALUE"""),"AB_10769_A")</f>
        <v>AB_10769_A</v>
      </c>
      <c r="C1576" s="19" t="str">
        <f>IFERROR(__xludf.DUMMYFUNCTION("""COMPUTED_VALUE"""),"LL10769")</f>
        <v>LL10769</v>
      </c>
      <c r="D1576" s="19" t="str">
        <f>IFERROR(__xludf.DUMMYFUNCTION("""COMPUTED_VALUE"""),"Puerto Montt Seminario RU")</f>
        <v>Puerto Montt Seminario RU</v>
      </c>
      <c r="E1576" s="19" t="str">
        <f>IFERROR(__xludf.DUMMYFUNCTION("""COMPUTED_VALUE"""),"SITIO RFI")</f>
        <v>SITIO RFI</v>
      </c>
      <c r="F1576" s="19"/>
      <c r="G1576" s="19" t="str">
        <f>IFERROR(__xludf.DUMMYFUNCTION("""COMPUTED_VALUE"""),"x")</f>
        <v>x</v>
      </c>
      <c r="H1576" s="19" t="str">
        <f>IFERROR(__xludf.DUMMYFUNCTION("""COMPUTED_VALUE"""),"x")</f>
        <v>x</v>
      </c>
      <c r="I1576" s="19" t="str">
        <f>IFERROR(__xludf.DUMMYFUNCTION("""COMPUTED_VALUE"""),"x")</f>
        <v>x</v>
      </c>
      <c r="J1576" s="20" t="str">
        <f>IFERROR(__xludf.DUMMYFUNCTION("""COMPUTED_VALUE"""),"x")</f>
        <v>x</v>
      </c>
      <c r="K1576" s="19" t="str">
        <f>IFERROR(__xludf.DUMMYFUNCTION("""COMPUTED_VALUE"""),"x")</f>
        <v>x</v>
      </c>
      <c r="L1576" s="20" t="str">
        <f>IFERROR(__xludf.DUMMYFUNCTION("""COMPUTED_VALUE"""),"x")</f>
        <v>x</v>
      </c>
      <c r="M1576" s="19" t="str">
        <f>IFERROR(__xludf.DUMMYFUNCTION("""COMPUTED_VALUE"""),"PCM")</f>
        <v>PCM</v>
      </c>
      <c r="N1576" s="19" t="str">
        <f>IFERROR(__xludf.DUMMYFUNCTION("""COMPUTED_VALUE"""),"PRIORIDAD 1 Q3 2023 OCTUBRE")</f>
        <v>PRIORIDAD 1 Q3 2023 OCTUBRE</v>
      </c>
    </row>
    <row r="1577" ht="15.75" customHeight="1">
      <c r="A1577" s="19" t="str">
        <f>IFERROR(__xludf.DUMMYFUNCTION("""COMPUTED_VALUE"""),"AB_11362")</f>
        <v>AB_11362</v>
      </c>
      <c r="B1577" s="19" t="str">
        <f>IFERROR(__xludf.DUMMYFUNCTION("""COMPUTED_VALUE"""),"AB_11362_A")</f>
        <v>AB_11362_A</v>
      </c>
      <c r="C1577" s="19" t="str">
        <f>IFERROR(__xludf.DUMMYFUNCTION("""COMPUTED_VALUE"""),"LL11362")</f>
        <v>LL11362</v>
      </c>
      <c r="D1577" s="19" t="str">
        <f>IFERROR(__xludf.DUMMYFUNCTION("""COMPUTED_VALUE"""),"Palena Pueblo")</f>
        <v>Palena Pueblo</v>
      </c>
      <c r="E1577" s="19" t="str">
        <f>IFERROR(__xludf.DUMMYFUNCTION("""COMPUTED_VALUE"""),"SITIO RFI")</f>
        <v>SITIO RFI</v>
      </c>
      <c r="F1577" s="19"/>
      <c r="G1577" s="19" t="str">
        <f>IFERROR(__xludf.DUMMYFUNCTION("""COMPUTED_VALUE"""),"x")</f>
        <v>x</v>
      </c>
      <c r="H1577" s="19" t="str">
        <f>IFERROR(__xludf.DUMMYFUNCTION("""COMPUTED_VALUE"""),"x")</f>
        <v>x</v>
      </c>
      <c r="I1577" s="19" t="str">
        <f>IFERROR(__xludf.DUMMYFUNCTION("""COMPUTED_VALUE"""),"x")</f>
        <v>x</v>
      </c>
      <c r="J1577" s="20" t="str">
        <f>IFERROR(__xludf.DUMMYFUNCTION("""COMPUTED_VALUE"""),"x")</f>
        <v>x</v>
      </c>
      <c r="K1577" s="19" t="str">
        <f>IFERROR(__xludf.DUMMYFUNCTION("""COMPUTED_VALUE"""),"x")</f>
        <v>x</v>
      </c>
      <c r="L1577" s="20" t="str">
        <f>IFERROR(__xludf.DUMMYFUNCTION("""COMPUTED_VALUE"""),"x")</f>
        <v>x</v>
      </c>
      <c r="M1577" s="19" t="str">
        <f>IFERROR(__xludf.DUMMYFUNCTION("""COMPUTED_VALUE"""),"PCM_2")</f>
        <v>PCM_2</v>
      </c>
      <c r="N1577" s="19" t="str">
        <f>IFERROR(__xludf.DUMMYFUNCTION("""COMPUTED_VALUE"""),"PRIORIDAD 1 Q3 2023 OCTUBRE")</f>
        <v>PRIORIDAD 1 Q3 2023 OCTUBRE</v>
      </c>
    </row>
    <row r="1578" ht="15.75" customHeight="1">
      <c r="A1578" s="19" t="str">
        <f>IFERROR(__xludf.DUMMYFUNCTION("""COMPUTED_VALUE"""),"AB_11485")</f>
        <v>AB_11485</v>
      </c>
      <c r="B1578" s="19" t="str">
        <f>IFERROR(__xludf.DUMMYFUNCTION("""COMPUTED_VALUE"""),"AB_11485_A")</f>
        <v>AB_11485_A</v>
      </c>
      <c r="C1578" s="19" t="str">
        <f>IFERROR(__xludf.DUMMYFUNCTION("""COMPUTED_VALUE"""),"LL11485")</f>
        <v>LL11485</v>
      </c>
      <c r="D1578" s="19" t="str">
        <f>IFERROR(__xludf.DUMMYFUNCTION("""COMPUTED_VALUE"""),"Quellon Chadmo RU")</f>
        <v>Quellon Chadmo RU</v>
      </c>
      <c r="E1578" s="19" t="str">
        <f>IFERROR(__xludf.DUMMYFUNCTION("""COMPUTED_VALUE"""),"SITIO RFI")</f>
        <v>SITIO RFI</v>
      </c>
      <c r="F1578" s="19"/>
      <c r="G1578" s="19" t="str">
        <f>IFERROR(__xludf.DUMMYFUNCTION("""COMPUTED_VALUE"""),"x")</f>
        <v>x</v>
      </c>
      <c r="H1578" s="19" t="str">
        <f>IFERROR(__xludf.DUMMYFUNCTION("""COMPUTED_VALUE"""),"x")</f>
        <v>x</v>
      </c>
      <c r="I1578" s="19" t="str">
        <f>IFERROR(__xludf.DUMMYFUNCTION("""COMPUTED_VALUE"""),"x")</f>
        <v>x</v>
      </c>
      <c r="J1578" s="20" t="str">
        <f>IFERROR(__xludf.DUMMYFUNCTION("""COMPUTED_VALUE"""),"x")</f>
        <v>x</v>
      </c>
      <c r="K1578" s="19" t="str">
        <f>IFERROR(__xludf.DUMMYFUNCTION("""COMPUTED_VALUE"""),"x")</f>
        <v>x</v>
      </c>
      <c r="L1578" s="20" t="str">
        <f>IFERROR(__xludf.DUMMYFUNCTION("""COMPUTED_VALUE"""),"x")</f>
        <v>x</v>
      </c>
      <c r="M1578" s="19" t="str">
        <f>IFERROR(__xludf.DUMMYFUNCTION("""COMPUTED_VALUE"""),"PCM_4")</f>
        <v>PCM_4</v>
      </c>
      <c r="N1578" s="19" t="str">
        <f>IFERROR(__xludf.DUMMYFUNCTION("""COMPUTED_VALUE"""),"PRIORIDAD 3 Q1 2024 MARZO")</f>
        <v>PRIORIDAD 3 Q1 2024 MARZO</v>
      </c>
    </row>
    <row r="1579" ht="15.75" customHeight="1">
      <c r="A1579" s="19" t="str">
        <f>IFERROR(__xludf.DUMMYFUNCTION("""COMPUTED_VALUE"""),"AB_1716")</f>
        <v>AB_1716</v>
      </c>
      <c r="B1579" s="19" t="str">
        <f>IFERROR(__xludf.DUMMYFUNCTION("""COMPUTED_VALUE"""),"AB_1716_A")</f>
        <v>AB_1716_A</v>
      </c>
      <c r="C1579" s="19" t="str">
        <f>IFERROR(__xludf.DUMMYFUNCTION("""COMPUTED_VALUE"""),"LL1716")</f>
        <v>LL1716</v>
      </c>
      <c r="D1579" s="19" t="str">
        <f>IFERROR(__xludf.DUMMYFUNCTION("""COMPUTED_VALUE"""),"Ruta Cochamo")</f>
        <v>Ruta Cochamo</v>
      </c>
      <c r="E1579" s="19" t="str">
        <f>IFERROR(__xludf.DUMMYFUNCTION("""COMPUTED_VALUE"""),"SITIO RFI")</f>
        <v>SITIO RFI</v>
      </c>
      <c r="F1579" s="19"/>
      <c r="G1579" s="19" t="str">
        <f>IFERROR(__xludf.DUMMYFUNCTION("""COMPUTED_VALUE"""),"x")</f>
        <v>x</v>
      </c>
      <c r="H1579" s="19" t="str">
        <f>IFERROR(__xludf.DUMMYFUNCTION("""COMPUTED_VALUE"""),"x")</f>
        <v>x</v>
      </c>
      <c r="I1579" s="19" t="str">
        <f>IFERROR(__xludf.DUMMYFUNCTION("""COMPUTED_VALUE"""),"x")</f>
        <v>x</v>
      </c>
      <c r="J1579" s="20" t="str">
        <f>IFERROR(__xludf.DUMMYFUNCTION("""COMPUTED_VALUE"""),"x")</f>
        <v>x</v>
      </c>
      <c r="K1579" s="19" t="str">
        <f>IFERROR(__xludf.DUMMYFUNCTION("""COMPUTED_VALUE"""),"x")</f>
        <v>x</v>
      </c>
      <c r="L1579" s="20" t="str">
        <f>IFERROR(__xludf.DUMMYFUNCTION("""COMPUTED_VALUE"""),"x")</f>
        <v>x</v>
      </c>
      <c r="M1579" s="19" t="str">
        <f>IFERROR(__xludf.DUMMYFUNCTION("""COMPUTED_VALUE"""),"PCM")</f>
        <v>PCM</v>
      </c>
      <c r="N1579" s="19" t="str">
        <f>IFERROR(__xludf.DUMMYFUNCTION("""COMPUTED_VALUE"""),"PRIORIDAD 1 Q3 2023 OCTUBRE")</f>
        <v>PRIORIDAD 1 Q3 2023 OCTUBRE</v>
      </c>
    </row>
    <row r="1580" ht="15.75" customHeight="1">
      <c r="A1580" s="19" t="str">
        <f>IFERROR(__xludf.DUMMYFUNCTION("""COMPUTED_VALUE"""),"AB_4929")</f>
        <v>AB_4929</v>
      </c>
      <c r="B1580" s="19" t="str">
        <f>IFERROR(__xludf.DUMMYFUNCTION("""COMPUTED_VALUE"""),"AB_4929_B")</f>
        <v>AB_4929_B</v>
      </c>
      <c r="C1580" s="19" t="str">
        <f>IFERROR(__xludf.DUMMYFUNCTION("""COMPUTED_VALUE"""),"LL4929")</f>
        <v>LL4929</v>
      </c>
      <c r="D1580" s="19" t="str">
        <f>IFERROR(__xludf.DUMMYFUNCTION("""COMPUTED_VALUE"""),"Estadio Rio Negro")</f>
        <v>Estadio Rio Negro</v>
      </c>
      <c r="E1580" s="19" t="str">
        <f>IFERROR(__xludf.DUMMYFUNCTION("""COMPUTED_VALUE"""),"SITIO RFI")</f>
        <v>SITIO RFI</v>
      </c>
      <c r="F1580" s="19"/>
      <c r="G1580" s="19" t="str">
        <f>IFERROR(__xludf.DUMMYFUNCTION("""COMPUTED_VALUE"""),"x")</f>
        <v>x</v>
      </c>
      <c r="H1580" s="19" t="str">
        <f>IFERROR(__xludf.DUMMYFUNCTION("""COMPUTED_VALUE"""),"x")</f>
        <v>x</v>
      </c>
      <c r="I1580" s="19" t="str">
        <f>IFERROR(__xludf.DUMMYFUNCTION("""COMPUTED_VALUE"""),"x")</f>
        <v>x</v>
      </c>
      <c r="J1580" s="20" t="str">
        <f>IFERROR(__xludf.DUMMYFUNCTION("""COMPUTED_VALUE"""),"x")</f>
        <v>x</v>
      </c>
      <c r="K1580" s="19" t="str">
        <f>IFERROR(__xludf.DUMMYFUNCTION("""COMPUTED_VALUE"""),"x")</f>
        <v>x</v>
      </c>
      <c r="L1580" s="20" t="str">
        <f>IFERROR(__xludf.DUMMYFUNCTION("""COMPUTED_VALUE"""),"x")</f>
        <v>x</v>
      </c>
      <c r="M1580" s="19" t="str">
        <f>IFERROR(__xludf.DUMMYFUNCTION("""COMPUTED_VALUE"""),"PCM")</f>
        <v>PCM</v>
      </c>
      <c r="N1580" s="19" t="str">
        <f>IFERROR(__xludf.DUMMYFUNCTION("""COMPUTED_VALUE"""),"PRIORIDAD 1 Q3 2023 OCTUBRE")</f>
        <v>PRIORIDAD 1 Q3 2023 OCTUBRE</v>
      </c>
    </row>
    <row r="1581" ht="15.75" customHeight="1">
      <c r="A1581" s="19" t="str">
        <f>IFERROR(__xludf.DUMMYFUNCTION("""COMPUTED_VALUE"""),"AB_8126")</f>
        <v>AB_8126</v>
      </c>
      <c r="B1581" s="19" t="str">
        <f>IFERROR(__xludf.DUMMYFUNCTION("""COMPUTED_VALUE"""),"AB_8126_D")</f>
        <v>AB_8126_D</v>
      </c>
      <c r="C1581" s="19" t="str">
        <f>IFERROR(__xludf.DUMMYFUNCTION("""COMPUTED_VALUE"""),"LL8126")</f>
        <v>LL8126</v>
      </c>
      <c r="D1581" s="19" t="str">
        <f>IFERROR(__xludf.DUMMYFUNCTION("""COMPUTED_VALUE"""),"Ruta W-871")</f>
        <v>Ruta W-871</v>
      </c>
      <c r="E1581" s="19" t="str">
        <f>IFERROR(__xludf.DUMMYFUNCTION("""COMPUTED_VALUE"""),"SITIO RFI")</f>
        <v>SITIO RFI</v>
      </c>
      <c r="F1581" s="19"/>
      <c r="G1581" s="19" t="str">
        <f>IFERROR(__xludf.DUMMYFUNCTION("""COMPUTED_VALUE"""),"x")</f>
        <v>x</v>
      </c>
      <c r="H1581" s="19" t="str">
        <f>IFERROR(__xludf.DUMMYFUNCTION("""COMPUTED_VALUE"""),"x")</f>
        <v>x</v>
      </c>
      <c r="I1581" s="19" t="str">
        <f>IFERROR(__xludf.DUMMYFUNCTION("""COMPUTED_VALUE"""),"x")</f>
        <v>x</v>
      </c>
      <c r="J1581" s="20" t="str">
        <f>IFERROR(__xludf.DUMMYFUNCTION("""COMPUTED_VALUE"""),"x")</f>
        <v>x</v>
      </c>
      <c r="K1581" s="19" t="str">
        <f>IFERROR(__xludf.DUMMYFUNCTION("""COMPUTED_VALUE"""),"x")</f>
        <v>x</v>
      </c>
      <c r="L1581" s="20" t="str">
        <f>IFERROR(__xludf.DUMMYFUNCTION("""COMPUTED_VALUE"""),"x")</f>
        <v>x</v>
      </c>
      <c r="M1581" s="19" t="str">
        <f>IFERROR(__xludf.DUMMYFUNCTION("""COMPUTED_VALUE"""),"PCM")</f>
        <v>PCM</v>
      </c>
      <c r="N1581" s="19" t="str">
        <f>IFERROR(__xludf.DUMMYFUNCTION("""COMPUTED_VALUE"""),"PRIORIDAD 1 Q3 2023 OCTUBRE")</f>
        <v>PRIORIDAD 1 Q3 2023 OCTUBRE</v>
      </c>
    </row>
    <row r="1582" ht="15.75" customHeight="1">
      <c r="A1582" s="19" t="str">
        <f>IFERROR(__xludf.DUMMYFUNCTION("""COMPUTED_VALUE"""),"AB_9440")</f>
        <v>AB_9440</v>
      </c>
      <c r="B1582" s="19" t="str">
        <f>IFERROR(__xludf.DUMMYFUNCTION("""COMPUTED_VALUE"""),"AB_9440_C")</f>
        <v>AB_9440_C</v>
      </c>
      <c r="C1582" s="19" t="str">
        <f>IFERROR(__xludf.DUMMYFUNCTION("""COMPUTED_VALUE"""),"LL9440")</f>
        <v>LL9440</v>
      </c>
      <c r="D1582" s="19" t="str">
        <f>IFERROR(__xludf.DUMMYFUNCTION("""COMPUTED_VALUE"""),"Calbuco Playa Abarca")</f>
        <v>Calbuco Playa Abarca</v>
      </c>
      <c r="E1582" s="19" t="str">
        <f>IFERROR(__xludf.DUMMYFUNCTION("""COMPUTED_VALUE"""),"SITIO RFI")</f>
        <v>SITIO RFI</v>
      </c>
      <c r="F1582" s="19"/>
      <c r="G1582" s="19" t="str">
        <f>IFERROR(__xludf.DUMMYFUNCTION("""COMPUTED_VALUE"""),"x")</f>
        <v>x</v>
      </c>
      <c r="H1582" s="19" t="str">
        <f>IFERROR(__xludf.DUMMYFUNCTION("""COMPUTED_VALUE"""),"x")</f>
        <v>x</v>
      </c>
      <c r="I1582" s="19" t="str">
        <f>IFERROR(__xludf.DUMMYFUNCTION("""COMPUTED_VALUE"""),"x")</f>
        <v>x</v>
      </c>
      <c r="J1582" s="20" t="str">
        <f>IFERROR(__xludf.DUMMYFUNCTION("""COMPUTED_VALUE"""),"x")</f>
        <v>x</v>
      </c>
      <c r="K1582" s="19" t="str">
        <f>IFERROR(__xludf.DUMMYFUNCTION("""COMPUTED_VALUE"""),"x")</f>
        <v>x</v>
      </c>
      <c r="L1582" s="20" t="str">
        <f>IFERROR(__xludf.DUMMYFUNCTION("""COMPUTED_VALUE"""),"x")</f>
        <v>x</v>
      </c>
      <c r="M1582" s="19" t="str">
        <f>IFERROR(__xludf.DUMMYFUNCTION("""COMPUTED_VALUE"""),"PP")</f>
        <v>PP</v>
      </c>
      <c r="N1582" s="19" t="str">
        <f>IFERROR(__xludf.DUMMYFUNCTION("""COMPUTED_VALUE"""),"PRIORIDAD 1 Q3 2023 OCTUBRE")</f>
        <v>PRIORIDAD 1 Q3 2023 OCTUBRE</v>
      </c>
    </row>
    <row r="1583" ht="15.75" customHeight="1">
      <c r="A1583" s="19" t="str">
        <f>IFERROR(__xludf.DUMMYFUNCTION("""COMPUTED_VALUE"""),"AB_10255")</f>
        <v>AB_10255</v>
      </c>
      <c r="B1583" s="19" t="str">
        <f>IFERROR(__xludf.DUMMYFUNCTION("""COMPUTED_VALUE"""),"AB_10255_B")</f>
        <v>AB_10255_B</v>
      </c>
      <c r="C1583" s="19" t="str">
        <f>IFERROR(__xludf.DUMMYFUNCTION("""COMPUTED_VALUE"""),"LR10255")</f>
        <v>LR10255</v>
      </c>
      <c r="D1583" s="19" t="str">
        <f>IFERROR(__xludf.DUMMYFUNCTION("""COMPUTED_VALUE"""),"Paillaco Hospital")</f>
        <v>Paillaco Hospital</v>
      </c>
      <c r="E1583" s="19" t="str">
        <f>IFERROR(__xludf.DUMMYFUNCTION("""COMPUTED_VALUE"""),"SITIO RFI")</f>
        <v>SITIO RFI</v>
      </c>
      <c r="F1583" s="19"/>
      <c r="G1583" s="19" t="str">
        <f>IFERROR(__xludf.DUMMYFUNCTION("""COMPUTED_VALUE"""),"x")</f>
        <v>x</v>
      </c>
      <c r="H1583" s="19" t="str">
        <f>IFERROR(__xludf.DUMMYFUNCTION("""COMPUTED_VALUE"""),"x")</f>
        <v>x</v>
      </c>
      <c r="I1583" s="19" t="str">
        <f>IFERROR(__xludf.DUMMYFUNCTION("""COMPUTED_VALUE"""),"x")</f>
        <v>x</v>
      </c>
      <c r="J1583" s="20" t="str">
        <f>IFERROR(__xludf.DUMMYFUNCTION("""COMPUTED_VALUE"""),"x")</f>
        <v>x</v>
      </c>
      <c r="K1583" s="19" t="str">
        <f>IFERROR(__xludf.DUMMYFUNCTION("""COMPUTED_VALUE"""),"x")</f>
        <v>x</v>
      </c>
      <c r="L1583" s="20" t="str">
        <f>IFERROR(__xludf.DUMMYFUNCTION("""COMPUTED_VALUE"""),"x")</f>
        <v>x</v>
      </c>
      <c r="M1583" s="19" t="str">
        <f>IFERROR(__xludf.DUMMYFUNCTION("""COMPUTED_VALUE"""),"PCM")</f>
        <v>PCM</v>
      </c>
      <c r="N1583" s="19" t="str">
        <f>IFERROR(__xludf.DUMMYFUNCTION("""COMPUTED_VALUE"""),"PRIORIDAD 1 Q3 2023 OCTUBRE")</f>
        <v>PRIORIDAD 1 Q3 2023 OCTUBRE</v>
      </c>
    </row>
    <row r="1584" ht="15.75" customHeight="1">
      <c r="A1584" s="19" t="str">
        <f>IFERROR(__xludf.DUMMYFUNCTION("""COMPUTED_VALUE"""),"AB_11352")</f>
        <v>AB_11352</v>
      </c>
      <c r="B1584" s="19" t="str">
        <f>IFERROR(__xludf.DUMMYFUNCTION("""COMPUTED_VALUE"""),"AB_11352_A")</f>
        <v>AB_11352_A</v>
      </c>
      <c r="C1584" s="19" t="str">
        <f>IFERROR(__xludf.DUMMYFUNCTION("""COMPUTED_VALUE"""),"LR11352")</f>
        <v>LR11352</v>
      </c>
      <c r="D1584" s="19" t="str">
        <f>IFERROR(__xludf.DUMMYFUNCTION("""COMPUTED_VALUE"""),"Puerto de Niebla Valdivia")</f>
        <v>Puerto de Niebla Valdivia</v>
      </c>
      <c r="E1584" s="19" t="str">
        <f>IFERROR(__xludf.DUMMYFUNCTION("""COMPUTED_VALUE"""),"SITIO RFI")</f>
        <v>SITIO RFI</v>
      </c>
      <c r="F1584" s="19"/>
      <c r="G1584" s="19" t="str">
        <f>IFERROR(__xludf.DUMMYFUNCTION("""COMPUTED_VALUE"""),"x")</f>
        <v>x</v>
      </c>
      <c r="H1584" s="19" t="str">
        <f>IFERROR(__xludf.DUMMYFUNCTION("""COMPUTED_VALUE"""),"x")</f>
        <v>x</v>
      </c>
      <c r="I1584" s="19" t="str">
        <f>IFERROR(__xludf.DUMMYFUNCTION("""COMPUTED_VALUE"""),"x")</f>
        <v>x</v>
      </c>
      <c r="J1584" s="20" t="str">
        <f>IFERROR(__xludf.DUMMYFUNCTION("""COMPUTED_VALUE"""),"x")</f>
        <v>x</v>
      </c>
      <c r="K1584" s="19" t="str">
        <f>IFERROR(__xludf.DUMMYFUNCTION("""COMPUTED_VALUE"""),"x")</f>
        <v>x</v>
      </c>
      <c r="L1584" s="20" t="str">
        <f>IFERROR(__xludf.DUMMYFUNCTION("""COMPUTED_VALUE"""),"x")</f>
        <v>x</v>
      </c>
      <c r="M1584" s="19" t="str">
        <f>IFERROR(__xludf.DUMMYFUNCTION("""COMPUTED_VALUE"""),"PCM_2")</f>
        <v>PCM_2</v>
      </c>
      <c r="N1584" s="19" t="str">
        <f>IFERROR(__xludf.DUMMYFUNCTION("""COMPUTED_VALUE"""),"PRIORIDAD 1 Q3 2023 OCTUBRE")</f>
        <v>PRIORIDAD 1 Q3 2023 OCTUBRE</v>
      </c>
    </row>
    <row r="1585" ht="15.75" customHeight="1">
      <c r="A1585" s="19" t="str">
        <f>IFERROR(__xludf.DUMMYFUNCTION("""COMPUTED_VALUE"""),"AB_4675")</f>
        <v>AB_4675</v>
      </c>
      <c r="B1585" s="19" t="str">
        <f>IFERROR(__xludf.DUMMYFUNCTION("""COMPUTED_VALUE"""),"AB_4675_H")</f>
        <v>AB_4675_H</v>
      </c>
      <c r="C1585" s="19" t="str">
        <f>IFERROR(__xludf.DUMMYFUNCTION("""COMPUTED_VALUE"""),"LR4675")</f>
        <v>LR4675</v>
      </c>
      <c r="D1585" s="19" t="str">
        <f>IFERROR(__xludf.DUMMYFUNCTION("""COMPUTED_VALUE"""),"Corral Oriente")</f>
        <v>Corral Oriente</v>
      </c>
      <c r="E1585" s="19" t="str">
        <f>IFERROR(__xludf.DUMMYFUNCTION("""COMPUTED_VALUE"""),"SITIO RFI")</f>
        <v>SITIO RFI</v>
      </c>
      <c r="F1585" s="19"/>
      <c r="G1585" s="19" t="str">
        <f>IFERROR(__xludf.DUMMYFUNCTION("""COMPUTED_VALUE"""),"x")</f>
        <v>x</v>
      </c>
      <c r="H1585" s="19" t="str">
        <f>IFERROR(__xludf.DUMMYFUNCTION("""COMPUTED_VALUE"""),"x")</f>
        <v>x</v>
      </c>
      <c r="I1585" s="19" t="str">
        <f>IFERROR(__xludf.DUMMYFUNCTION("""COMPUTED_VALUE"""),"x")</f>
        <v>x</v>
      </c>
      <c r="J1585" s="20" t="str">
        <f>IFERROR(__xludf.DUMMYFUNCTION("""COMPUTED_VALUE"""),"x")</f>
        <v>x</v>
      </c>
      <c r="K1585" s="19" t="str">
        <f>IFERROR(__xludf.DUMMYFUNCTION("""COMPUTED_VALUE"""),"x")</f>
        <v>x</v>
      </c>
      <c r="L1585" s="20" t="str">
        <f>IFERROR(__xludf.DUMMYFUNCTION("""COMPUTED_VALUE"""),"x")</f>
        <v>x</v>
      </c>
      <c r="M1585" s="19" t="str">
        <f>IFERROR(__xludf.DUMMYFUNCTION("""COMPUTED_VALUE"""),"PCM")</f>
        <v>PCM</v>
      </c>
      <c r="N1585" s="19" t="str">
        <f>IFERROR(__xludf.DUMMYFUNCTION("""COMPUTED_VALUE"""),"PRIORIDAD 1 Q3 2023 OCTUBRE")</f>
        <v>PRIORIDAD 1 Q3 2023 OCTUBRE</v>
      </c>
    </row>
    <row r="1586" ht="15.75" customHeight="1">
      <c r="A1586" s="19" t="str">
        <f>IFERROR(__xludf.DUMMYFUNCTION("""COMPUTED_VALUE"""),"AB_3596")</f>
        <v>AB_3596</v>
      </c>
      <c r="B1586" s="19" t="str">
        <f>IFERROR(__xludf.DUMMYFUNCTION("""COMPUTED_VALUE"""),"AB_3596_B")</f>
        <v>AB_3596_B</v>
      </c>
      <c r="C1586" s="19" t="str">
        <f>IFERROR(__xludf.DUMMYFUNCTION("""COMPUTED_VALUE"""),"MA3596")</f>
        <v>MA3596</v>
      </c>
      <c r="D1586" s="19" t="str">
        <f>IFERROR(__xludf.DUMMYFUNCTION("""COMPUTED_VALUE"""),"Talca Parque Industrial")</f>
        <v>Talca Parque Industrial</v>
      </c>
      <c r="E1586" s="19" t="str">
        <f>IFERROR(__xludf.DUMMYFUNCTION("""COMPUTED_VALUE"""),"SITIO RFI")</f>
        <v>SITIO RFI</v>
      </c>
      <c r="F1586" s="19"/>
      <c r="G1586" s="19" t="str">
        <f>IFERROR(__xludf.DUMMYFUNCTION("""COMPUTED_VALUE"""),"x")</f>
        <v>x</v>
      </c>
      <c r="H1586" s="19" t="str">
        <f>IFERROR(__xludf.DUMMYFUNCTION("""COMPUTED_VALUE"""),"x")</f>
        <v>x</v>
      </c>
      <c r="I1586" s="19" t="str">
        <f>IFERROR(__xludf.DUMMYFUNCTION("""COMPUTED_VALUE"""),"x")</f>
        <v>x</v>
      </c>
      <c r="J1586" s="20" t="str">
        <f>IFERROR(__xludf.DUMMYFUNCTION("""COMPUTED_VALUE"""),"x")</f>
        <v>x</v>
      </c>
      <c r="K1586" s="19" t="str">
        <f>IFERROR(__xludf.DUMMYFUNCTION("""COMPUTED_VALUE"""),"x")</f>
        <v>x</v>
      </c>
      <c r="L1586" s="20" t="str">
        <f>IFERROR(__xludf.DUMMYFUNCTION("""COMPUTED_VALUE"""),"x")</f>
        <v>x</v>
      </c>
      <c r="M1586" s="19" t="str">
        <f>IFERROR(__xludf.DUMMYFUNCTION("""COMPUTED_VALUE"""),"PCM")</f>
        <v>PCM</v>
      </c>
      <c r="N1586" s="19" t="str">
        <f>IFERROR(__xludf.DUMMYFUNCTION("""COMPUTED_VALUE"""),"PRIORIDAD 1 Q3 2023 OCTUBRE")</f>
        <v>PRIORIDAD 1 Q3 2023 OCTUBRE</v>
      </c>
    </row>
    <row r="1587" ht="15.75" customHeight="1">
      <c r="A1587" s="19" t="str">
        <f>IFERROR(__xludf.DUMMYFUNCTION("""COMPUTED_VALUE"""),"AB_4813")</f>
        <v>AB_4813</v>
      </c>
      <c r="B1587" s="19" t="str">
        <f>IFERROR(__xludf.DUMMYFUNCTION("""COMPUTED_VALUE"""),"AB_4813_C")</f>
        <v>AB_4813_C</v>
      </c>
      <c r="C1587" s="19" t="str">
        <f>IFERROR(__xludf.DUMMYFUNCTION("""COMPUTED_VALUE"""),"MA4813")</f>
        <v>MA4813</v>
      </c>
      <c r="D1587" s="19" t="str">
        <f>IFERROR(__xludf.DUMMYFUNCTION("""COMPUTED_VALUE"""),"Pencahue Pueblo")</f>
        <v>Pencahue Pueblo</v>
      </c>
      <c r="E1587" s="19" t="str">
        <f>IFERROR(__xludf.DUMMYFUNCTION("""COMPUTED_VALUE"""),"SITIO RFI")</f>
        <v>SITIO RFI</v>
      </c>
      <c r="F1587" s="19"/>
      <c r="G1587" s="19" t="str">
        <f>IFERROR(__xludf.DUMMYFUNCTION("""COMPUTED_VALUE"""),"x")</f>
        <v>x</v>
      </c>
      <c r="H1587" s="19" t="str">
        <f>IFERROR(__xludf.DUMMYFUNCTION("""COMPUTED_VALUE"""),"x")</f>
        <v>x</v>
      </c>
      <c r="I1587" s="19" t="str">
        <f>IFERROR(__xludf.DUMMYFUNCTION("""COMPUTED_VALUE"""),"x")</f>
        <v>x</v>
      </c>
      <c r="J1587" s="20" t="str">
        <f>IFERROR(__xludf.DUMMYFUNCTION("""COMPUTED_VALUE"""),"x")</f>
        <v>x</v>
      </c>
      <c r="K1587" s="19" t="str">
        <f>IFERROR(__xludf.DUMMYFUNCTION("""COMPUTED_VALUE"""),"x")</f>
        <v>x</v>
      </c>
      <c r="L1587" s="20" t="str">
        <f>IFERROR(__xludf.DUMMYFUNCTION("""COMPUTED_VALUE"""),"x")</f>
        <v>x</v>
      </c>
      <c r="M1587" s="19" t="str">
        <f>IFERROR(__xludf.DUMMYFUNCTION("""COMPUTED_VALUE"""),"PCM")</f>
        <v>PCM</v>
      </c>
      <c r="N1587" s="19" t="str">
        <f>IFERROR(__xludf.DUMMYFUNCTION("""COMPUTED_VALUE"""),"PRIORIDAD 1 Q3 2023 OCTUBRE")</f>
        <v>PRIORIDAD 1 Q3 2023 OCTUBRE</v>
      </c>
    </row>
    <row r="1588" ht="15.75" customHeight="1">
      <c r="A1588" s="19" t="str">
        <f>IFERROR(__xludf.DUMMYFUNCTION("""COMPUTED_VALUE"""),"AB_5991")</f>
        <v>AB_5991</v>
      </c>
      <c r="B1588" s="19" t="str">
        <f>IFERROR(__xludf.DUMMYFUNCTION("""COMPUTED_VALUE"""),"AB_5991_I")</f>
        <v>AB_5991_I</v>
      </c>
      <c r="C1588" s="19" t="str">
        <f>IFERROR(__xludf.DUMMYFUNCTION("""COMPUTED_VALUE"""),"MA5991")</f>
        <v>MA5991</v>
      </c>
      <c r="D1588" s="19" t="str">
        <f>IFERROR(__xludf.DUMMYFUNCTION("""COMPUTED_VALUE"""),"Hospital de Curico")</f>
        <v>Hospital de Curico</v>
      </c>
      <c r="E1588" s="19" t="str">
        <f>IFERROR(__xludf.DUMMYFUNCTION("""COMPUTED_VALUE"""),"SITIO RFC")</f>
        <v>SITIO RFC</v>
      </c>
      <c r="F1588" s="19"/>
      <c r="G1588" s="19" t="str">
        <f>IFERROR(__xludf.DUMMYFUNCTION("""COMPUTED_VALUE"""),"x")</f>
        <v>x</v>
      </c>
      <c r="H1588" s="19" t="str">
        <f>IFERROR(__xludf.DUMMYFUNCTION("""COMPUTED_VALUE"""),"x")</f>
        <v>x</v>
      </c>
      <c r="I1588" s="19" t="str">
        <f>IFERROR(__xludf.DUMMYFUNCTION("""COMPUTED_VALUE"""),"x")</f>
        <v>x</v>
      </c>
      <c r="J1588" s="20" t="str">
        <f>IFERROR(__xludf.DUMMYFUNCTION("""COMPUTED_VALUE"""),"x")</f>
        <v>x</v>
      </c>
      <c r="K1588" s="19" t="str">
        <f>IFERROR(__xludf.DUMMYFUNCTION("""COMPUTED_VALUE"""),"x")</f>
        <v>x</v>
      </c>
      <c r="L1588" s="20" t="str">
        <f>IFERROR(__xludf.DUMMYFUNCTION("""COMPUTED_VALUE"""),"x")</f>
        <v>x</v>
      </c>
      <c r="M1588" s="19" t="str">
        <f>IFERROR(__xludf.DUMMYFUNCTION("""COMPUTED_VALUE"""),"PCM")</f>
        <v>PCM</v>
      </c>
      <c r="N1588" s="19" t="str">
        <f>IFERROR(__xludf.DUMMYFUNCTION("""COMPUTED_VALUE"""),"PRIORIDAD 1 Q3 2023 OCTUBRE")</f>
        <v>PRIORIDAD 1 Q3 2023 OCTUBRE</v>
      </c>
    </row>
    <row r="1589" ht="15.75" customHeight="1">
      <c r="A1589" s="19" t="str">
        <f>IFERROR(__xludf.DUMMYFUNCTION("""COMPUTED_VALUE"""),"AB_8942")</f>
        <v>AB_8942</v>
      </c>
      <c r="B1589" s="19" t="str">
        <f>IFERROR(__xludf.DUMMYFUNCTION("""COMPUTED_VALUE"""),"AB_8942_B")</f>
        <v>AB_8942_B</v>
      </c>
      <c r="C1589" s="19" t="str">
        <f>IFERROR(__xludf.DUMMYFUNCTION("""COMPUTED_VALUE"""),"MA8942")</f>
        <v>MA8942</v>
      </c>
      <c r="D1589" s="19" t="str">
        <f>IFERROR(__xludf.DUMMYFUNCTION("""COMPUTED_VALUE"""),"Gualleco")</f>
        <v>Gualleco</v>
      </c>
      <c r="E1589" s="19" t="str">
        <f>IFERROR(__xludf.DUMMYFUNCTION("""COMPUTED_VALUE"""),"SITIO RFI")</f>
        <v>SITIO RFI</v>
      </c>
      <c r="F1589" s="19"/>
      <c r="G1589" s="19" t="str">
        <f>IFERROR(__xludf.DUMMYFUNCTION("""COMPUTED_VALUE"""),"x")</f>
        <v>x</v>
      </c>
      <c r="H1589" s="19" t="str">
        <f>IFERROR(__xludf.DUMMYFUNCTION("""COMPUTED_VALUE"""),"x")</f>
        <v>x</v>
      </c>
      <c r="I1589" s="19" t="str">
        <f>IFERROR(__xludf.DUMMYFUNCTION("""COMPUTED_VALUE"""),"x")</f>
        <v>x</v>
      </c>
      <c r="J1589" s="20" t="str">
        <f>IFERROR(__xludf.DUMMYFUNCTION("""COMPUTED_VALUE"""),"x")</f>
        <v>x</v>
      </c>
      <c r="K1589" s="19" t="str">
        <f>IFERROR(__xludf.DUMMYFUNCTION("""COMPUTED_VALUE"""),"x")</f>
        <v>x</v>
      </c>
      <c r="L1589" s="20" t="str">
        <f>IFERROR(__xludf.DUMMYFUNCTION("""COMPUTED_VALUE"""),"x")</f>
        <v>x</v>
      </c>
      <c r="M1589" s="19" t="str">
        <f>IFERROR(__xludf.DUMMYFUNCTION("""COMPUTED_VALUE"""),"PCM")</f>
        <v>PCM</v>
      </c>
      <c r="N1589" s="19" t="str">
        <f>IFERROR(__xludf.DUMMYFUNCTION("""COMPUTED_VALUE"""),"PRIORIDAD 1 Q3 2023 OCTUBRE")</f>
        <v>PRIORIDAD 1 Q3 2023 OCTUBRE</v>
      </c>
    </row>
    <row r="1590" ht="15.75" customHeight="1">
      <c r="A1590" s="19" t="str">
        <f>IFERROR(__xludf.DUMMYFUNCTION("""COMPUTED_VALUE"""),"AB_10161")</f>
        <v>AB_10161</v>
      </c>
      <c r="B1590" s="19" t="str">
        <f>IFERROR(__xludf.DUMMYFUNCTION("""COMPUTED_VALUE"""),"AB_10161_A")</f>
        <v>AB_10161_A</v>
      </c>
      <c r="C1590" s="19" t="str">
        <f>IFERROR(__xludf.DUMMYFUNCTION("""COMPUTED_VALUE"""),"MG10161")</f>
        <v>MG10161</v>
      </c>
      <c r="D1590" s="19" t="str">
        <f>IFERROR(__xludf.DUMMYFUNCTION("""COMPUTED_VALUE"""),"Puerto Natales Puerto 5G")</f>
        <v>Puerto Natales Puerto 5G</v>
      </c>
      <c r="E1590" s="19" t="str">
        <f>IFERROR(__xludf.DUMMYFUNCTION("""COMPUTED_VALUE"""),"SITIO RFI")</f>
        <v>SITIO RFI</v>
      </c>
      <c r="F1590" s="19"/>
      <c r="G1590" s="19" t="str">
        <f>IFERROR(__xludf.DUMMYFUNCTION("""COMPUTED_VALUE"""),"x")</f>
        <v>x</v>
      </c>
      <c r="H1590" s="19" t="str">
        <f>IFERROR(__xludf.DUMMYFUNCTION("""COMPUTED_VALUE"""),"x")</f>
        <v>x</v>
      </c>
      <c r="I1590" s="19" t="str">
        <f>IFERROR(__xludf.DUMMYFUNCTION("""COMPUTED_VALUE"""),"x")</f>
        <v>x</v>
      </c>
      <c r="J1590" s="20" t="str">
        <f>IFERROR(__xludf.DUMMYFUNCTION("""COMPUTED_VALUE"""),"x")</f>
        <v>x</v>
      </c>
      <c r="K1590" s="19" t="str">
        <f>IFERROR(__xludf.DUMMYFUNCTION("""COMPUTED_VALUE"""),"x")</f>
        <v>x</v>
      </c>
      <c r="L1590" s="20" t="str">
        <f>IFERROR(__xludf.DUMMYFUNCTION("""COMPUTED_VALUE"""),"x")</f>
        <v>x</v>
      </c>
      <c r="M1590" s="19" t="str">
        <f>IFERROR(__xludf.DUMMYFUNCTION("""COMPUTED_VALUE"""),"PCM")</f>
        <v>PCM</v>
      </c>
      <c r="N1590" s="19" t="str">
        <f>IFERROR(__xludf.DUMMYFUNCTION("""COMPUTED_VALUE"""),"PRIORIDAD 1 Q3 2023 OCTUBRE")</f>
        <v>PRIORIDAD 1 Q3 2023 OCTUBRE</v>
      </c>
    </row>
    <row r="1591" ht="15.75" customHeight="1">
      <c r="A1591" s="19" t="str">
        <f>IFERROR(__xludf.DUMMYFUNCTION("""COMPUTED_VALUE"""),"AB_10273")</f>
        <v>AB_10273</v>
      </c>
      <c r="B1591" s="19" t="str">
        <f>IFERROR(__xludf.DUMMYFUNCTION("""COMPUTED_VALUE"""),"AB_10273_D")</f>
        <v>AB_10273_D</v>
      </c>
      <c r="C1591" s="19" t="str">
        <f>IFERROR(__xludf.DUMMYFUNCTION("""COMPUTED_VALUE"""),"MG10273")</f>
        <v>MG10273</v>
      </c>
      <c r="D1591" s="19" t="str">
        <f>IFERROR(__xludf.DUMMYFUNCTION("""COMPUTED_VALUE"""),"Hospital Puerto Natales")</f>
        <v>Hospital Puerto Natales</v>
      </c>
      <c r="E1591" s="19" t="str">
        <f>IFERROR(__xludf.DUMMYFUNCTION("""COMPUTED_VALUE"""),"SITIO RFC")</f>
        <v>SITIO RFC</v>
      </c>
      <c r="F1591" s="19"/>
      <c r="G1591" s="19" t="str">
        <f>IFERROR(__xludf.DUMMYFUNCTION("""COMPUTED_VALUE"""),"x")</f>
        <v>x</v>
      </c>
      <c r="H1591" s="19" t="str">
        <f>IFERROR(__xludf.DUMMYFUNCTION("""COMPUTED_VALUE"""),"x")</f>
        <v>x</v>
      </c>
      <c r="I1591" s="19" t="str">
        <f>IFERROR(__xludf.DUMMYFUNCTION("""COMPUTED_VALUE"""),"x")</f>
        <v>x</v>
      </c>
      <c r="J1591" s="20" t="str">
        <f>IFERROR(__xludf.DUMMYFUNCTION("""COMPUTED_VALUE"""),"x")</f>
        <v>x</v>
      </c>
      <c r="K1591" s="19" t="str">
        <f>IFERROR(__xludf.DUMMYFUNCTION("""COMPUTED_VALUE"""),"x")</f>
        <v>x</v>
      </c>
      <c r="L1591" s="20" t="str">
        <f>IFERROR(__xludf.DUMMYFUNCTION("""COMPUTED_VALUE"""),"x")</f>
        <v>x</v>
      </c>
      <c r="M1591" s="19" t="str">
        <f>IFERROR(__xludf.DUMMYFUNCTION("""COMPUTED_VALUE"""),"PCM")</f>
        <v>PCM</v>
      </c>
      <c r="N1591" s="19" t="str">
        <f>IFERROR(__xludf.DUMMYFUNCTION("""COMPUTED_VALUE"""),"PRIORIDAD 1 Q3 2023 OCTUBRE")</f>
        <v>PRIORIDAD 1 Q3 2023 OCTUBRE</v>
      </c>
    </row>
    <row r="1592" ht="15.75" customHeight="1">
      <c r="A1592" s="19" t="str">
        <f>IFERROR(__xludf.DUMMYFUNCTION("""COMPUTED_VALUE"""),"AB_11475")</f>
        <v>AB_11475</v>
      </c>
      <c r="B1592" s="19" t="str">
        <f>IFERROR(__xludf.DUMMYFUNCTION("""COMPUTED_VALUE"""),"AB_11475_B")</f>
        <v>AB_11475_B</v>
      </c>
      <c r="C1592" s="19" t="str">
        <f>IFERROR(__xludf.DUMMYFUNCTION("""COMPUTED_VALUE"""),"MG11475")</f>
        <v>MG11475</v>
      </c>
      <c r="D1592" s="19" t="str">
        <f>IFERROR(__xludf.DUMMYFUNCTION("""COMPUTED_VALUE"""),"Puerto Williams Oriente")</f>
        <v>Puerto Williams Oriente</v>
      </c>
      <c r="E1592" s="19" t="str">
        <f>IFERROR(__xludf.DUMMYFUNCTION("""COMPUTED_VALUE"""),"SITIO FIRMADO")</f>
        <v>SITIO FIRMADO</v>
      </c>
      <c r="F1592" s="19"/>
      <c r="G1592" s="19" t="str">
        <f>IFERROR(__xludf.DUMMYFUNCTION("""COMPUTED_VALUE"""),"x")</f>
        <v>x</v>
      </c>
      <c r="H1592" s="19" t="str">
        <f>IFERROR(__xludf.DUMMYFUNCTION("""COMPUTED_VALUE"""),"x")</f>
        <v>x</v>
      </c>
      <c r="I1592" s="19" t="str">
        <f>IFERROR(__xludf.DUMMYFUNCTION("""COMPUTED_VALUE"""),"x")</f>
        <v>x</v>
      </c>
      <c r="J1592" s="20" t="str">
        <f>IFERROR(__xludf.DUMMYFUNCTION("""COMPUTED_VALUE"""),"x")</f>
        <v>x</v>
      </c>
      <c r="K1592" s="19" t="str">
        <f>IFERROR(__xludf.DUMMYFUNCTION("""COMPUTED_VALUE"""),"x")</f>
        <v>x</v>
      </c>
      <c r="L1592" s="20" t="str">
        <f>IFERROR(__xludf.DUMMYFUNCTION("""COMPUTED_VALUE"""),"x")</f>
        <v>x</v>
      </c>
      <c r="M1592" s="19" t="str">
        <f>IFERROR(__xludf.DUMMYFUNCTION("""COMPUTED_VALUE"""),"PCM_2")</f>
        <v>PCM_2</v>
      </c>
      <c r="N1592" s="19" t="str">
        <f>IFERROR(__xludf.DUMMYFUNCTION("""COMPUTED_VALUE"""),"PRIORIDAD 1 Q3 2023 OCTUBRE")</f>
        <v>PRIORIDAD 1 Q3 2023 OCTUBRE</v>
      </c>
    </row>
    <row r="1593" ht="15.75" customHeight="1">
      <c r="A1593" s="19" t="str">
        <f>IFERROR(__xludf.DUMMYFUNCTION("""COMPUTED_VALUE"""),"AB_11651")</f>
        <v>AB_11651</v>
      </c>
      <c r="B1593" s="19" t="str">
        <f>IFERROR(__xludf.DUMMYFUNCTION("""COMPUTED_VALUE"""),"AB_11651_A")</f>
        <v>AB_11651_A</v>
      </c>
      <c r="C1593" s="19" t="str">
        <f>IFERROR(__xludf.DUMMYFUNCTION("""COMPUTED_VALUE"""),"MG11651")</f>
        <v>MG11651</v>
      </c>
      <c r="D1593" s="19" t="str">
        <f>IFERROR(__xludf.DUMMYFUNCTION("""COMPUTED_VALUE"""),"Club de yates Micalvi Puerto Williams")</f>
        <v>Club de yates Micalvi Puerto Williams</v>
      </c>
      <c r="E1593" s="19" t="str">
        <f>IFERROR(__xludf.DUMMYFUNCTION("""COMPUTED_VALUE"""),"SITIO FIRMADO")</f>
        <v>SITIO FIRMADO</v>
      </c>
      <c r="F1593" s="19"/>
      <c r="G1593" s="19" t="str">
        <f>IFERROR(__xludf.DUMMYFUNCTION("""COMPUTED_VALUE"""),"x")</f>
        <v>x</v>
      </c>
      <c r="H1593" s="19" t="str">
        <f>IFERROR(__xludf.DUMMYFUNCTION("""COMPUTED_VALUE"""),"x")</f>
        <v>x</v>
      </c>
      <c r="I1593" s="19" t="str">
        <f>IFERROR(__xludf.DUMMYFUNCTION("""COMPUTED_VALUE"""),"x")</f>
        <v>x</v>
      </c>
      <c r="J1593" s="20" t="str">
        <f>IFERROR(__xludf.DUMMYFUNCTION("""COMPUTED_VALUE"""),"x")</f>
        <v>x</v>
      </c>
      <c r="K1593" s="19" t="str">
        <f>IFERROR(__xludf.DUMMYFUNCTION("""COMPUTED_VALUE"""),"x")</f>
        <v>x</v>
      </c>
      <c r="L1593" s="20" t="str">
        <f>IFERROR(__xludf.DUMMYFUNCTION("""COMPUTED_VALUE"""),"x")</f>
        <v>x</v>
      </c>
      <c r="M1593" s="19" t="str">
        <f>IFERROR(__xludf.DUMMYFUNCTION("""COMPUTED_VALUE"""),"PCM_2")</f>
        <v>PCM_2</v>
      </c>
      <c r="N1593" s="19" t="str">
        <f>IFERROR(__xludf.DUMMYFUNCTION("""COMPUTED_VALUE"""),"PRIORIDAD 1 Q3 2023 OCTUBRE")</f>
        <v>PRIORIDAD 1 Q3 2023 OCTUBRE</v>
      </c>
    </row>
    <row r="1594" ht="15.75" customHeight="1">
      <c r="A1594" s="19" t="str">
        <f>IFERROR(__xludf.DUMMYFUNCTION("""COMPUTED_VALUE"""),"AB_7092")</f>
        <v>AB_7092</v>
      </c>
      <c r="B1594" s="19" t="str">
        <f>IFERROR(__xludf.DUMMYFUNCTION("""COMPUTED_VALUE"""),"AB_7092_A")</f>
        <v>AB_7092_A</v>
      </c>
      <c r="C1594" s="19" t="str">
        <f>IFERROR(__xludf.DUMMYFUNCTION("""COMPUTED_VALUE"""),"MG7092")</f>
        <v>MG7092</v>
      </c>
      <c r="D1594" s="19" t="str">
        <f>IFERROR(__xludf.DUMMYFUNCTION("""COMPUTED_VALUE"""),"Puerto Natales Hospital")</f>
        <v>Puerto Natales Hospital</v>
      </c>
      <c r="E1594" s="19" t="str">
        <f>IFERROR(__xludf.DUMMYFUNCTION("""COMPUTED_VALUE"""),"SITIO RFI")</f>
        <v>SITIO RFI</v>
      </c>
      <c r="F1594" s="19"/>
      <c r="G1594" s="19" t="str">
        <f>IFERROR(__xludf.DUMMYFUNCTION("""COMPUTED_VALUE"""),"x")</f>
        <v>x</v>
      </c>
      <c r="H1594" s="19" t="str">
        <f>IFERROR(__xludf.DUMMYFUNCTION("""COMPUTED_VALUE"""),"x")</f>
        <v>x</v>
      </c>
      <c r="I1594" s="19" t="str">
        <f>IFERROR(__xludf.DUMMYFUNCTION("""COMPUTED_VALUE"""),"x")</f>
        <v>x</v>
      </c>
      <c r="J1594" s="20" t="str">
        <f>IFERROR(__xludf.DUMMYFUNCTION("""COMPUTED_VALUE"""),"x")</f>
        <v>x</v>
      </c>
      <c r="K1594" s="19" t="str">
        <f>IFERROR(__xludf.DUMMYFUNCTION("""COMPUTED_VALUE"""),"x")</f>
        <v>x</v>
      </c>
      <c r="L1594" s="20" t="str">
        <f>IFERROR(__xludf.DUMMYFUNCTION("""COMPUTED_VALUE"""),"x")</f>
        <v>x</v>
      </c>
      <c r="M1594" s="19" t="str">
        <f>IFERROR(__xludf.DUMMYFUNCTION("""COMPUTED_VALUE"""),"PCM_2")</f>
        <v>PCM_2</v>
      </c>
      <c r="N1594" s="19" t="str">
        <f>IFERROR(__xludf.DUMMYFUNCTION("""COMPUTED_VALUE"""),"PRIORIDAD 1 Q3 2023 OCTUBRE")</f>
        <v>PRIORIDAD 1 Q3 2023 OCTUBRE</v>
      </c>
    </row>
    <row r="1595" ht="15.75" customHeight="1">
      <c r="A1595" s="19" t="str">
        <f>IFERROR(__xludf.DUMMYFUNCTION("""COMPUTED_VALUE"""),"AB_3970")</f>
        <v>AB_3970</v>
      </c>
      <c r="B1595" s="19" t="str">
        <f>IFERROR(__xludf.DUMMYFUNCTION("""COMPUTED_VALUE"""),"AB_3970_A")</f>
        <v>AB_3970_A</v>
      </c>
      <c r="C1595" s="19" t="str">
        <f>IFERROR(__xludf.DUMMYFUNCTION("""COMPUTED_VALUE"""),"NU3970")</f>
        <v>NU3970</v>
      </c>
      <c r="D1595" s="19" t="str">
        <f>IFERROR(__xludf.DUMMYFUNCTION("""COMPUTED_VALUE"""),"Conde del Maule Reubicacion")</f>
        <v>Conde del Maule Reubicacion</v>
      </c>
      <c r="E1595" s="19" t="str">
        <f>IFERROR(__xludf.DUMMYFUNCTION("""COMPUTED_VALUE"""),"SITIO RFI")</f>
        <v>SITIO RFI</v>
      </c>
      <c r="F1595" s="19"/>
      <c r="G1595" s="19" t="str">
        <f>IFERROR(__xludf.DUMMYFUNCTION("""COMPUTED_VALUE"""),"x")</f>
        <v>x</v>
      </c>
      <c r="H1595" s="19" t="str">
        <f>IFERROR(__xludf.DUMMYFUNCTION("""COMPUTED_VALUE"""),"x")</f>
        <v>x</v>
      </c>
      <c r="I1595" s="19" t="str">
        <f>IFERROR(__xludf.DUMMYFUNCTION("""COMPUTED_VALUE"""),"x")</f>
        <v>x</v>
      </c>
      <c r="J1595" s="20" t="str">
        <f>IFERROR(__xludf.DUMMYFUNCTION("""COMPUTED_VALUE"""),"x")</f>
        <v>x</v>
      </c>
      <c r="K1595" s="19" t="str">
        <f>IFERROR(__xludf.DUMMYFUNCTION("""COMPUTED_VALUE"""),"x")</f>
        <v>x</v>
      </c>
      <c r="L1595" s="20" t="str">
        <f>IFERROR(__xludf.DUMMYFUNCTION("""COMPUTED_VALUE"""),"x")</f>
        <v>x</v>
      </c>
      <c r="M1595" s="19" t="str">
        <f>IFERROR(__xludf.DUMMYFUNCTION("""COMPUTED_VALUE"""),"PCM")</f>
        <v>PCM</v>
      </c>
      <c r="N1595" s="19" t="str">
        <f>IFERROR(__xludf.DUMMYFUNCTION("""COMPUTED_VALUE"""),"PRIORIDAD 1 Q3 2023 OCTUBRE")</f>
        <v>PRIORIDAD 1 Q3 2023 OCTUBRE</v>
      </c>
    </row>
    <row r="1596" ht="15.75" customHeight="1">
      <c r="A1596" s="19" t="str">
        <f>IFERROR(__xludf.DUMMYFUNCTION("""COMPUTED_VALUE"""),"AB_5552")</f>
        <v>AB_5552</v>
      </c>
      <c r="B1596" s="19" t="str">
        <f>IFERROR(__xludf.DUMMYFUNCTION("""COMPUTED_VALUE"""),"AB_5552_G")</f>
        <v>AB_5552_G</v>
      </c>
      <c r="C1596" s="19" t="str">
        <f>IFERROR(__xludf.DUMMYFUNCTION("""COMPUTED_VALUE"""),"NU5552")</f>
        <v>NU5552</v>
      </c>
      <c r="D1596" s="19" t="str">
        <f>IFERROR(__xludf.DUMMYFUNCTION("""COMPUTED_VALUE"""),"Arauco Chillan")</f>
        <v>Arauco Chillan</v>
      </c>
      <c r="E1596" s="19" t="str">
        <f>IFERROR(__xludf.DUMMYFUNCTION("""COMPUTED_VALUE"""),"SITIO RFI")</f>
        <v>SITIO RFI</v>
      </c>
      <c r="F1596" s="19"/>
      <c r="G1596" s="19" t="str">
        <f>IFERROR(__xludf.DUMMYFUNCTION("""COMPUTED_VALUE"""),"x")</f>
        <v>x</v>
      </c>
      <c r="H1596" s="19" t="str">
        <f>IFERROR(__xludf.DUMMYFUNCTION("""COMPUTED_VALUE"""),"x")</f>
        <v>x</v>
      </c>
      <c r="I1596" s="19" t="str">
        <f>IFERROR(__xludf.DUMMYFUNCTION("""COMPUTED_VALUE"""),"x")</f>
        <v>x</v>
      </c>
      <c r="J1596" s="20" t="str">
        <f>IFERROR(__xludf.DUMMYFUNCTION("""COMPUTED_VALUE"""),"x")</f>
        <v>x</v>
      </c>
      <c r="K1596" s="19" t="str">
        <f>IFERROR(__xludf.DUMMYFUNCTION("""COMPUTED_VALUE"""),"x")</f>
        <v>x</v>
      </c>
      <c r="L1596" s="20" t="str">
        <f>IFERROR(__xludf.DUMMYFUNCTION("""COMPUTED_VALUE"""),"x")</f>
        <v>x</v>
      </c>
      <c r="M1596" s="19" t="str">
        <f>IFERROR(__xludf.DUMMYFUNCTION("""COMPUTED_VALUE"""),"PCM")</f>
        <v>PCM</v>
      </c>
      <c r="N1596" s="19" t="str">
        <f>IFERROR(__xludf.DUMMYFUNCTION("""COMPUTED_VALUE"""),"PRIORIDAD 1 Q3 2023 OCTUBRE")</f>
        <v>PRIORIDAD 1 Q3 2023 OCTUBRE</v>
      </c>
    </row>
    <row r="1597" ht="15.75" customHeight="1">
      <c r="A1597" s="19" t="str">
        <f>IFERROR(__xludf.DUMMYFUNCTION("""COMPUTED_VALUE"""),"AB_6198")</f>
        <v>AB_6198</v>
      </c>
      <c r="B1597" s="19" t="str">
        <f>IFERROR(__xludf.DUMMYFUNCTION("""COMPUTED_VALUE"""),"AB_6198_C")</f>
        <v>AB_6198_C</v>
      </c>
      <c r="C1597" s="19" t="str">
        <f>IFERROR(__xludf.DUMMYFUNCTION("""COMPUTED_VALUE"""),"NU6198")</f>
        <v>NU6198</v>
      </c>
      <c r="D1597" s="19" t="str">
        <f>IFERROR(__xludf.DUMMYFUNCTION("""COMPUTED_VALUE"""),"Cobquecura Centro")</f>
        <v>Cobquecura Centro</v>
      </c>
      <c r="E1597" s="19" t="str">
        <f>IFERROR(__xludf.DUMMYFUNCTION("""COMPUTED_VALUE"""),"SITIO RFI")</f>
        <v>SITIO RFI</v>
      </c>
      <c r="F1597" s="19"/>
      <c r="G1597" s="19" t="str">
        <f>IFERROR(__xludf.DUMMYFUNCTION("""COMPUTED_VALUE"""),"x")</f>
        <v>x</v>
      </c>
      <c r="H1597" s="19" t="str">
        <f>IFERROR(__xludf.DUMMYFUNCTION("""COMPUTED_VALUE"""),"x")</f>
        <v>x</v>
      </c>
      <c r="I1597" s="19" t="str">
        <f>IFERROR(__xludf.DUMMYFUNCTION("""COMPUTED_VALUE"""),"x")</f>
        <v>x</v>
      </c>
      <c r="J1597" s="20" t="str">
        <f>IFERROR(__xludf.DUMMYFUNCTION("""COMPUTED_VALUE"""),"x")</f>
        <v>x</v>
      </c>
      <c r="K1597" s="19" t="str">
        <f>IFERROR(__xludf.DUMMYFUNCTION("""COMPUTED_VALUE"""),"x")</f>
        <v>x</v>
      </c>
      <c r="L1597" s="20" t="str">
        <f>IFERROR(__xludf.DUMMYFUNCTION("""COMPUTED_VALUE"""),"x")</f>
        <v>x</v>
      </c>
      <c r="M1597" s="19" t="str">
        <f>IFERROR(__xludf.DUMMYFUNCTION("""COMPUTED_VALUE"""),"PCM")</f>
        <v>PCM</v>
      </c>
      <c r="N1597" s="19" t="str">
        <f>IFERROR(__xludf.DUMMYFUNCTION("""COMPUTED_VALUE"""),"PRIORIDAD 1 Q3 2023 OCTUBRE")</f>
        <v>PRIORIDAD 1 Q3 2023 OCTUBRE</v>
      </c>
    </row>
    <row r="1598" ht="15.75" customHeight="1">
      <c r="A1598" s="19" t="str">
        <f>IFERROR(__xludf.DUMMYFUNCTION("""COMPUTED_VALUE"""),"AB_6450")</f>
        <v>AB_6450</v>
      </c>
      <c r="B1598" s="19" t="str">
        <f>IFERROR(__xludf.DUMMYFUNCTION("""COMPUTED_VALUE"""),"AB_6450_C")</f>
        <v>AB_6450_C</v>
      </c>
      <c r="C1598" s="19" t="str">
        <f>IFERROR(__xludf.DUMMYFUNCTION("""COMPUTED_VALUE"""),"NU6450")</f>
        <v>NU6450</v>
      </c>
      <c r="D1598" s="19" t="str">
        <f>IFERROR(__xludf.DUMMYFUNCTION("""COMPUTED_VALUE"""),"Chillan - Libertad RU")</f>
        <v>Chillan - Libertad RU</v>
      </c>
      <c r="E1598" s="19" t="str">
        <f>IFERROR(__xludf.DUMMYFUNCTION("""COMPUTED_VALUE"""),"SITIO RFC")</f>
        <v>SITIO RFC</v>
      </c>
      <c r="F1598" s="19"/>
      <c r="G1598" s="19" t="str">
        <f>IFERROR(__xludf.DUMMYFUNCTION("""COMPUTED_VALUE"""),"x")</f>
        <v>x</v>
      </c>
      <c r="H1598" s="19" t="str">
        <f>IFERROR(__xludf.DUMMYFUNCTION("""COMPUTED_VALUE"""),"x")</f>
        <v>x</v>
      </c>
      <c r="I1598" s="19" t="str">
        <f>IFERROR(__xludf.DUMMYFUNCTION("""COMPUTED_VALUE"""),"x")</f>
        <v>x</v>
      </c>
      <c r="J1598" s="20" t="str">
        <f>IFERROR(__xludf.DUMMYFUNCTION("""COMPUTED_VALUE"""),"x")</f>
        <v>x</v>
      </c>
      <c r="K1598" s="19" t="str">
        <f>IFERROR(__xludf.DUMMYFUNCTION("""COMPUTED_VALUE"""),"x")</f>
        <v>x</v>
      </c>
      <c r="L1598" s="20" t="str">
        <f>IFERROR(__xludf.DUMMYFUNCTION("""COMPUTED_VALUE"""),"x")</f>
        <v>x</v>
      </c>
      <c r="M1598" s="19" t="str">
        <f>IFERROR(__xludf.DUMMYFUNCTION("""COMPUTED_VALUE"""),"PCM")</f>
        <v>PCM</v>
      </c>
      <c r="N1598" s="19" t="str">
        <f>IFERROR(__xludf.DUMMYFUNCTION("""COMPUTED_VALUE"""),"PRIORIDAD 1 Q3 2023 OCTUBRE")</f>
        <v>PRIORIDAD 1 Q3 2023 OCTUBRE</v>
      </c>
    </row>
    <row r="1599" ht="15.75" customHeight="1">
      <c r="A1599" s="19" t="str">
        <f>IFERROR(__xludf.DUMMYFUNCTION("""COMPUTED_VALUE"""),"AB_10355")</f>
        <v>AB_10355</v>
      </c>
      <c r="B1599" s="19" t="str">
        <f>IFERROR(__xludf.DUMMYFUNCTION("""COMPUTED_VALUE"""),"AB_10355_A")</f>
        <v>AB_10355_A</v>
      </c>
      <c r="C1599" s="19" t="str">
        <f>IFERROR(__xludf.DUMMYFUNCTION("""COMPUTED_VALUE"""),"OH10355")</f>
        <v>OH10355</v>
      </c>
      <c r="D1599" s="19" t="str">
        <f>IFERROR(__xludf.DUMMYFUNCTION("""COMPUTED_VALUE"""),"Pichilemu Comercio 2")</f>
        <v>Pichilemu Comercio 2</v>
      </c>
      <c r="E1599" s="19" t="str">
        <f>IFERROR(__xludf.DUMMYFUNCTION("""COMPUTED_VALUE"""),"SITIO RFI")</f>
        <v>SITIO RFI</v>
      </c>
      <c r="F1599" s="19"/>
      <c r="G1599" s="19" t="str">
        <f>IFERROR(__xludf.DUMMYFUNCTION("""COMPUTED_VALUE"""),"x")</f>
        <v>x</v>
      </c>
      <c r="H1599" s="19" t="str">
        <f>IFERROR(__xludf.DUMMYFUNCTION("""COMPUTED_VALUE"""),"x")</f>
        <v>x</v>
      </c>
      <c r="I1599" s="19" t="str">
        <f>IFERROR(__xludf.DUMMYFUNCTION("""COMPUTED_VALUE"""),"x")</f>
        <v>x</v>
      </c>
      <c r="J1599" s="20" t="str">
        <f>IFERROR(__xludf.DUMMYFUNCTION("""COMPUTED_VALUE"""),"x")</f>
        <v>x</v>
      </c>
      <c r="K1599" s="19" t="str">
        <f>IFERROR(__xludf.DUMMYFUNCTION("""COMPUTED_VALUE"""),"x")</f>
        <v>x</v>
      </c>
      <c r="L1599" s="20" t="str">
        <f>IFERROR(__xludf.DUMMYFUNCTION("""COMPUTED_VALUE"""),"x")</f>
        <v>x</v>
      </c>
      <c r="M1599" s="19" t="str">
        <f>IFERROR(__xludf.DUMMYFUNCTION("""COMPUTED_VALUE"""),"PCM_4")</f>
        <v>PCM_4</v>
      </c>
      <c r="N1599" s="19" t="str">
        <f>IFERROR(__xludf.DUMMYFUNCTION("""COMPUTED_VALUE"""),"PRIORIDAD 3 Q1 2024 MARZO")</f>
        <v>PRIORIDAD 3 Q1 2024 MARZO</v>
      </c>
    </row>
    <row r="1600" ht="15.75" customHeight="1">
      <c r="A1600" s="19" t="str">
        <f>IFERROR(__xludf.DUMMYFUNCTION("""COMPUTED_VALUE"""),"AB_11361")</f>
        <v>AB_11361</v>
      </c>
      <c r="B1600" s="19" t="str">
        <f>IFERROR(__xludf.DUMMYFUNCTION("""COMPUTED_VALUE"""),"AB_11361_A")</f>
        <v>AB_11361_A</v>
      </c>
      <c r="C1600" s="19" t="str">
        <f>IFERROR(__xludf.DUMMYFUNCTION("""COMPUTED_VALUE"""),"OH11361")</f>
        <v>OH11361</v>
      </c>
      <c r="D1600" s="19" t="str">
        <f>IFERROR(__xludf.DUMMYFUNCTION("""COMPUTED_VALUE"""),"Wave Pichilemu 5G")</f>
        <v>Wave Pichilemu 5G</v>
      </c>
      <c r="E1600" s="19" t="str">
        <f>IFERROR(__xludf.DUMMYFUNCTION("""COMPUTED_VALUE"""),"SITIO RFI")</f>
        <v>SITIO RFI</v>
      </c>
      <c r="F1600" s="19"/>
      <c r="G1600" s="19" t="str">
        <f>IFERROR(__xludf.DUMMYFUNCTION("""COMPUTED_VALUE"""),"x")</f>
        <v>x</v>
      </c>
      <c r="H1600" s="19" t="str">
        <f>IFERROR(__xludf.DUMMYFUNCTION("""COMPUTED_VALUE"""),"x")</f>
        <v>x</v>
      </c>
      <c r="I1600" s="19" t="str">
        <f>IFERROR(__xludf.DUMMYFUNCTION("""COMPUTED_VALUE"""),"x")</f>
        <v>x</v>
      </c>
      <c r="J1600" s="20" t="str">
        <f>IFERROR(__xludf.DUMMYFUNCTION("""COMPUTED_VALUE"""),"x")</f>
        <v>x</v>
      </c>
      <c r="K1600" s="19" t="str">
        <f>IFERROR(__xludf.DUMMYFUNCTION("""COMPUTED_VALUE"""),"x")</f>
        <v>x</v>
      </c>
      <c r="L1600" s="20" t="str">
        <f>IFERROR(__xludf.DUMMYFUNCTION("""COMPUTED_VALUE"""),"x")</f>
        <v>x</v>
      </c>
      <c r="M1600" s="19" t="str">
        <f>IFERROR(__xludf.DUMMYFUNCTION("""COMPUTED_VALUE"""),"PCM_4")</f>
        <v>PCM_4</v>
      </c>
      <c r="N1600" s="19" t="str">
        <f>IFERROR(__xludf.DUMMYFUNCTION("""COMPUTED_VALUE"""),"PRIORIDAD 3 Q1 2024 MARZO")</f>
        <v>PRIORIDAD 3 Q1 2024 MARZO</v>
      </c>
    </row>
    <row r="1601" ht="15.75" customHeight="1">
      <c r="A1601" s="19" t="str">
        <f>IFERROR(__xludf.DUMMYFUNCTION("""COMPUTED_VALUE"""),"AB_3763")</f>
        <v>AB_3763</v>
      </c>
      <c r="B1601" s="19" t="str">
        <f>IFERROR(__xludf.DUMMYFUNCTION("""COMPUTED_VALUE"""),"AB_3763_E")</f>
        <v>AB_3763_E</v>
      </c>
      <c r="C1601" s="19" t="str">
        <f>IFERROR(__xludf.DUMMYFUNCTION("""COMPUTED_VALUE"""),"OH3763")</f>
        <v>OH3763</v>
      </c>
      <c r="D1601" s="19" t="str">
        <f>IFERROR(__xludf.DUMMYFUNCTION("""COMPUTED_VALUE"""),"Chimbarongo Estadio")</f>
        <v>Chimbarongo Estadio</v>
      </c>
      <c r="E1601" s="19" t="str">
        <f>IFERROR(__xludf.DUMMYFUNCTION("""COMPUTED_VALUE"""),"SITIO RFI")</f>
        <v>SITIO RFI</v>
      </c>
      <c r="F1601" s="19"/>
      <c r="G1601" s="19" t="str">
        <f>IFERROR(__xludf.DUMMYFUNCTION("""COMPUTED_VALUE"""),"x")</f>
        <v>x</v>
      </c>
      <c r="H1601" s="19" t="str">
        <f>IFERROR(__xludf.DUMMYFUNCTION("""COMPUTED_VALUE"""),"x")</f>
        <v>x</v>
      </c>
      <c r="I1601" s="19" t="str">
        <f>IFERROR(__xludf.DUMMYFUNCTION("""COMPUTED_VALUE"""),"x")</f>
        <v>x</v>
      </c>
      <c r="J1601" s="20" t="str">
        <f>IFERROR(__xludf.DUMMYFUNCTION("""COMPUTED_VALUE"""),"x")</f>
        <v>x</v>
      </c>
      <c r="K1601" s="19" t="str">
        <f>IFERROR(__xludf.DUMMYFUNCTION("""COMPUTED_VALUE"""),"x")</f>
        <v>x</v>
      </c>
      <c r="L1601" s="20" t="str">
        <f>IFERROR(__xludf.DUMMYFUNCTION("""COMPUTED_VALUE"""),"x")</f>
        <v>x</v>
      </c>
      <c r="M1601" s="19" t="str">
        <f>IFERROR(__xludf.DUMMYFUNCTION("""COMPUTED_VALUE"""),"PCM")</f>
        <v>PCM</v>
      </c>
      <c r="N1601" s="19" t="str">
        <f>IFERROR(__xludf.DUMMYFUNCTION("""COMPUTED_VALUE"""),"PRIORIDAD 1 Q3 2023 OCTUBRE")</f>
        <v>PRIORIDAD 1 Q3 2023 OCTUBRE</v>
      </c>
    </row>
    <row r="1602" ht="15.75" customHeight="1">
      <c r="A1602" s="19" t="str">
        <f>IFERROR(__xludf.DUMMYFUNCTION("""COMPUTED_VALUE"""),"AB_3998")</f>
        <v>AB_3998</v>
      </c>
      <c r="B1602" s="19" t="str">
        <f>IFERROR(__xludf.DUMMYFUNCTION("""COMPUTED_VALUE"""),"AB_3998_M")</f>
        <v>AB_3998_M</v>
      </c>
      <c r="C1602" s="19" t="str">
        <f>IFERROR(__xludf.DUMMYFUNCTION("""COMPUTED_VALUE"""),"OH3998")</f>
        <v>OH3998</v>
      </c>
      <c r="D1602" s="19" t="str">
        <f>IFERROR(__xludf.DUMMYFUNCTION("""COMPUTED_VALUE"""),"Casa Carmen Coltauco")</f>
        <v>Casa Carmen Coltauco</v>
      </c>
      <c r="E1602" s="19" t="str">
        <f>IFERROR(__xludf.DUMMYFUNCTION("""COMPUTED_VALUE"""),"SITIO RFI")</f>
        <v>SITIO RFI</v>
      </c>
      <c r="F1602" s="19"/>
      <c r="G1602" s="19" t="str">
        <f>IFERROR(__xludf.DUMMYFUNCTION("""COMPUTED_VALUE"""),"x")</f>
        <v>x</v>
      </c>
      <c r="H1602" s="19" t="str">
        <f>IFERROR(__xludf.DUMMYFUNCTION("""COMPUTED_VALUE"""),"x")</f>
        <v>x</v>
      </c>
      <c r="I1602" s="19" t="str">
        <f>IFERROR(__xludf.DUMMYFUNCTION("""COMPUTED_VALUE"""),"x")</f>
        <v>x</v>
      </c>
      <c r="J1602" s="20" t="str">
        <f>IFERROR(__xludf.DUMMYFUNCTION("""COMPUTED_VALUE"""),"x")</f>
        <v>x</v>
      </c>
      <c r="K1602" s="19" t="str">
        <f>IFERROR(__xludf.DUMMYFUNCTION("""COMPUTED_VALUE"""),"x")</f>
        <v>x</v>
      </c>
      <c r="L1602" s="20" t="str">
        <f>IFERROR(__xludf.DUMMYFUNCTION("""COMPUTED_VALUE"""),"x")</f>
        <v>x</v>
      </c>
      <c r="M1602" s="19" t="str">
        <f>IFERROR(__xludf.DUMMYFUNCTION("""COMPUTED_VALUE"""),"PCM")</f>
        <v>PCM</v>
      </c>
      <c r="N1602" s="19" t="str">
        <f>IFERROR(__xludf.DUMMYFUNCTION("""COMPUTED_VALUE"""),"PRIORIDAD 1 Q3 2023 OCTUBRE")</f>
        <v>PRIORIDAD 1 Q3 2023 OCTUBRE</v>
      </c>
    </row>
    <row r="1603" ht="15.75" customHeight="1">
      <c r="A1603" s="19" t="str">
        <f>IFERROR(__xludf.DUMMYFUNCTION("""COMPUTED_VALUE"""),"AB_4691")</f>
        <v>AB_4691</v>
      </c>
      <c r="B1603" s="19" t="str">
        <f>IFERROR(__xludf.DUMMYFUNCTION("""COMPUTED_VALUE"""),"AB_4691_B")</f>
        <v>AB_4691_B</v>
      </c>
      <c r="C1603" s="19" t="str">
        <f>IFERROR(__xludf.DUMMYFUNCTION("""COMPUTED_VALUE"""),"OH4691")</f>
        <v>OH4691</v>
      </c>
      <c r="D1603" s="19" t="str">
        <f>IFERROR(__xludf.DUMMYFUNCTION("""COMPUTED_VALUE"""),"Huascar Pichidegua")</f>
        <v>Huascar Pichidegua</v>
      </c>
      <c r="E1603" s="19" t="str">
        <f>IFERROR(__xludf.DUMMYFUNCTION("""COMPUTED_VALUE"""),"SITIO RFI")</f>
        <v>SITIO RFI</v>
      </c>
      <c r="F1603" s="19"/>
      <c r="G1603" s="19" t="str">
        <f>IFERROR(__xludf.DUMMYFUNCTION("""COMPUTED_VALUE"""),"x")</f>
        <v>x</v>
      </c>
      <c r="H1603" s="19" t="str">
        <f>IFERROR(__xludf.DUMMYFUNCTION("""COMPUTED_VALUE"""),"x")</f>
        <v>x</v>
      </c>
      <c r="I1603" s="19" t="str">
        <f>IFERROR(__xludf.DUMMYFUNCTION("""COMPUTED_VALUE"""),"x")</f>
        <v>x</v>
      </c>
      <c r="J1603" s="20" t="str">
        <f>IFERROR(__xludf.DUMMYFUNCTION("""COMPUTED_VALUE"""),"x")</f>
        <v>x</v>
      </c>
      <c r="K1603" s="19" t="str">
        <f>IFERROR(__xludf.DUMMYFUNCTION("""COMPUTED_VALUE"""),"x")</f>
        <v>x</v>
      </c>
      <c r="L1603" s="20" t="str">
        <f>IFERROR(__xludf.DUMMYFUNCTION("""COMPUTED_VALUE"""),"x")</f>
        <v>x</v>
      </c>
      <c r="M1603" s="19" t="str">
        <f>IFERROR(__xludf.DUMMYFUNCTION("""COMPUTED_VALUE"""),"PCM")</f>
        <v>PCM</v>
      </c>
      <c r="N1603" s="19" t="str">
        <f>IFERROR(__xludf.DUMMYFUNCTION("""COMPUTED_VALUE"""),"PRIORIDAD 1 Q3 2023 OCTUBRE")</f>
        <v>PRIORIDAD 1 Q3 2023 OCTUBRE</v>
      </c>
    </row>
    <row r="1604" ht="15.75" customHeight="1">
      <c r="A1604" s="19" t="str">
        <f>IFERROR(__xludf.DUMMYFUNCTION("""COMPUTED_VALUE"""),"AB_4788")</f>
        <v>AB_4788</v>
      </c>
      <c r="B1604" s="19" t="str">
        <f>IFERROR(__xludf.DUMMYFUNCTION("""COMPUTED_VALUE"""),"AB_4788_H")</f>
        <v>AB_4788_H</v>
      </c>
      <c r="C1604" s="19" t="str">
        <f>IFERROR(__xludf.DUMMYFUNCTION("""COMPUTED_VALUE"""),"OH4788")</f>
        <v>OH4788</v>
      </c>
      <c r="D1604" s="19" t="str">
        <f>IFERROR(__xludf.DUMMYFUNCTION("""COMPUTED_VALUE"""),"Peumo Centro")</f>
        <v>Peumo Centro</v>
      </c>
      <c r="E1604" s="19" t="str">
        <f>IFERROR(__xludf.DUMMYFUNCTION("""COMPUTED_VALUE"""),"SITIO RFI")</f>
        <v>SITIO RFI</v>
      </c>
      <c r="F1604" s="19"/>
      <c r="G1604" s="19" t="str">
        <f>IFERROR(__xludf.DUMMYFUNCTION("""COMPUTED_VALUE"""),"x")</f>
        <v>x</v>
      </c>
      <c r="H1604" s="19" t="str">
        <f>IFERROR(__xludf.DUMMYFUNCTION("""COMPUTED_VALUE"""),"x")</f>
        <v>x</v>
      </c>
      <c r="I1604" s="19" t="str">
        <f>IFERROR(__xludf.DUMMYFUNCTION("""COMPUTED_VALUE"""),"x")</f>
        <v>x</v>
      </c>
      <c r="J1604" s="20" t="str">
        <f>IFERROR(__xludf.DUMMYFUNCTION("""COMPUTED_VALUE"""),"x")</f>
        <v>x</v>
      </c>
      <c r="K1604" s="19" t="str">
        <f>IFERROR(__xludf.DUMMYFUNCTION("""COMPUTED_VALUE"""),"x")</f>
        <v>x</v>
      </c>
      <c r="L1604" s="20" t="str">
        <f>IFERROR(__xludf.DUMMYFUNCTION("""COMPUTED_VALUE"""),"x")</f>
        <v>x</v>
      </c>
      <c r="M1604" s="19" t="str">
        <f>IFERROR(__xludf.DUMMYFUNCTION("""COMPUTED_VALUE"""),"PCM")</f>
        <v>PCM</v>
      </c>
      <c r="N1604" s="19" t="str">
        <f>IFERROR(__xludf.DUMMYFUNCTION("""COMPUTED_VALUE"""),"PRIORIDAD 1 Q3 2023 OCTUBRE")</f>
        <v>PRIORIDAD 1 Q3 2023 OCTUBRE</v>
      </c>
    </row>
    <row r="1605" ht="15.75" customHeight="1">
      <c r="A1605" s="19" t="str">
        <f>IFERROR(__xludf.DUMMYFUNCTION("""COMPUTED_VALUE"""),"AB_4792")</f>
        <v>AB_4792</v>
      </c>
      <c r="B1605" s="19" t="str">
        <f>IFERROR(__xludf.DUMMYFUNCTION("""COMPUTED_VALUE"""),"AB_4792_F")</f>
        <v>AB_4792_F</v>
      </c>
      <c r="C1605" s="19" t="str">
        <f>IFERROR(__xludf.DUMMYFUNCTION("""COMPUTED_VALUE"""),"OH4792")</f>
        <v>OH4792</v>
      </c>
      <c r="D1605" s="19" t="str">
        <f>IFERROR(__xludf.DUMMYFUNCTION("""COMPUTED_VALUE"""),"Chepica Centro")</f>
        <v>Chepica Centro</v>
      </c>
      <c r="E1605" s="19" t="str">
        <f>IFERROR(__xludf.DUMMYFUNCTION("""COMPUTED_VALUE"""),"SITIO RFI")</f>
        <v>SITIO RFI</v>
      </c>
      <c r="F1605" s="19"/>
      <c r="G1605" s="19" t="str">
        <f>IFERROR(__xludf.DUMMYFUNCTION("""COMPUTED_VALUE"""),"x")</f>
        <v>x</v>
      </c>
      <c r="H1605" s="19" t="str">
        <f>IFERROR(__xludf.DUMMYFUNCTION("""COMPUTED_VALUE"""),"x")</f>
        <v>x</v>
      </c>
      <c r="I1605" s="19" t="str">
        <f>IFERROR(__xludf.DUMMYFUNCTION("""COMPUTED_VALUE"""),"x")</f>
        <v>x</v>
      </c>
      <c r="J1605" s="20" t="str">
        <f>IFERROR(__xludf.DUMMYFUNCTION("""COMPUTED_VALUE"""),"x")</f>
        <v>x</v>
      </c>
      <c r="K1605" s="19" t="str">
        <f>IFERROR(__xludf.DUMMYFUNCTION("""COMPUTED_VALUE"""),"x")</f>
        <v>x</v>
      </c>
      <c r="L1605" s="20" t="str">
        <f>IFERROR(__xludf.DUMMYFUNCTION("""COMPUTED_VALUE"""),"x")</f>
        <v>x</v>
      </c>
      <c r="M1605" s="19" t="str">
        <f>IFERROR(__xludf.DUMMYFUNCTION("""COMPUTED_VALUE"""),"PCM")</f>
        <v>PCM</v>
      </c>
      <c r="N1605" s="19" t="str">
        <f>IFERROR(__xludf.DUMMYFUNCTION("""COMPUTED_VALUE"""),"PRIORIDAD 1 Q3 2023 OCTUBRE")</f>
        <v>PRIORIDAD 1 Q3 2023 OCTUBRE</v>
      </c>
    </row>
    <row r="1606" ht="15.75" customHeight="1">
      <c r="A1606" s="19" t="str">
        <f>IFERROR(__xludf.DUMMYFUNCTION("""COMPUTED_VALUE"""),"AB_6244")</f>
        <v>AB_6244</v>
      </c>
      <c r="B1606" s="19" t="str">
        <f>IFERROR(__xludf.DUMMYFUNCTION("""COMPUTED_VALUE"""),"AB_6244_B")</f>
        <v>AB_6244_B</v>
      </c>
      <c r="C1606" s="19" t="str">
        <f>IFERROR(__xludf.DUMMYFUNCTION("""COMPUTED_VALUE"""),"OH6244")</f>
        <v>OH6244</v>
      </c>
      <c r="D1606" s="19" t="str">
        <f>IFERROR(__xludf.DUMMYFUNCTION("""COMPUTED_VALUE"""),"Graneros La Compañia")</f>
        <v>Graneros La Compañia</v>
      </c>
      <c r="E1606" s="19" t="str">
        <f>IFERROR(__xludf.DUMMYFUNCTION("""COMPUTED_VALUE"""),"SITIO RFI")</f>
        <v>SITIO RFI</v>
      </c>
      <c r="F1606" s="19"/>
      <c r="G1606" s="19" t="str">
        <f>IFERROR(__xludf.DUMMYFUNCTION("""COMPUTED_VALUE"""),"x")</f>
        <v>x</v>
      </c>
      <c r="H1606" s="19" t="str">
        <f>IFERROR(__xludf.DUMMYFUNCTION("""COMPUTED_VALUE"""),"x")</f>
        <v>x</v>
      </c>
      <c r="I1606" s="19" t="str">
        <f>IFERROR(__xludf.DUMMYFUNCTION("""COMPUTED_VALUE"""),"x")</f>
        <v>x</v>
      </c>
      <c r="J1606" s="20" t="str">
        <f>IFERROR(__xludf.DUMMYFUNCTION("""COMPUTED_VALUE"""),"x")</f>
        <v>x</v>
      </c>
      <c r="K1606" s="19" t="str">
        <f>IFERROR(__xludf.DUMMYFUNCTION("""COMPUTED_VALUE"""),"x")</f>
        <v>x</v>
      </c>
      <c r="L1606" s="20" t="str">
        <f>IFERROR(__xludf.DUMMYFUNCTION("""COMPUTED_VALUE"""),"x")</f>
        <v>x</v>
      </c>
      <c r="M1606" s="19" t="str">
        <f>IFERROR(__xludf.DUMMYFUNCTION("""COMPUTED_VALUE"""),"PCM")</f>
        <v>PCM</v>
      </c>
      <c r="N1606" s="19" t="str">
        <f>IFERROR(__xludf.DUMMYFUNCTION("""COMPUTED_VALUE"""),"PRIORIDAD 1 Q3 2023 OCTUBRE")</f>
        <v>PRIORIDAD 1 Q3 2023 OCTUBRE</v>
      </c>
    </row>
    <row r="1607" ht="15.75" customHeight="1">
      <c r="A1607" s="19" t="str">
        <f>IFERROR(__xludf.DUMMYFUNCTION("""COMPUTED_VALUE"""),"AB_6247")</f>
        <v>AB_6247</v>
      </c>
      <c r="B1607" s="19" t="str">
        <f>IFERROR(__xludf.DUMMYFUNCTION("""COMPUTED_VALUE"""),"AB_6247_E")</f>
        <v>AB_6247_E</v>
      </c>
      <c r="C1607" s="19" t="str">
        <f>IFERROR(__xludf.DUMMYFUNCTION("""COMPUTED_VALUE"""),"OH6247")</f>
        <v>OH6247</v>
      </c>
      <c r="D1607" s="19" t="str">
        <f>IFERROR(__xludf.DUMMYFUNCTION("""COMPUTED_VALUE"""),"Larrain Litueche")</f>
        <v>Larrain Litueche</v>
      </c>
      <c r="E1607" s="19" t="str">
        <f>IFERROR(__xludf.DUMMYFUNCTION("""COMPUTED_VALUE"""),"SITIO RFI")</f>
        <v>SITIO RFI</v>
      </c>
      <c r="F1607" s="19"/>
      <c r="G1607" s="19" t="str">
        <f>IFERROR(__xludf.DUMMYFUNCTION("""COMPUTED_VALUE"""),"x")</f>
        <v>x</v>
      </c>
      <c r="H1607" s="19" t="str">
        <f>IFERROR(__xludf.DUMMYFUNCTION("""COMPUTED_VALUE"""),"x")</f>
        <v>x</v>
      </c>
      <c r="I1607" s="19" t="str">
        <f>IFERROR(__xludf.DUMMYFUNCTION("""COMPUTED_VALUE"""),"x")</f>
        <v>x</v>
      </c>
      <c r="J1607" s="20" t="str">
        <f>IFERROR(__xludf.DUMMYFUNCTION("""COMPUTED_VALUE"""),"x")</f>
        <v>x</v>
      </c>
      <c r="K1607" s="19" t="str">
        <f>IFERROR(__xludf.DUMMYFUNCTION("""COMPUTED_VALUE"""),"x")</f>
        <v>x</v>
      </c>
      <c r="L1607" s="20" t="str">
        <f>IFERROR(__xludf.DUMMYFUNCTION("""COMPUTED_VALUE"""),"x")</f>
        <v>x</v>
      </c>
      <c r="M1607" s="19" t="str">
        <f>IFERROR(__xludf.DUMMYFUNCTION("""COMPUTED_VALUE"""),"PCM")</f>
        <v>PCM</v>
      </c>
      <c r="N1607" s="19" t="str">
        <f>IFERROR(__xludf.DUMMYFUNCTION("""COMPUTED_VALUE"""),"PRIORIDAD 1 Q3 2023 OCTUBRE")</f>
        <v>PRIORIDAD 1 Q3 2023 OCTUBRE</v>
      </c>
    </row>
    <row r="1608" ht="15.75" customHeight="1">
      <c r="A1608" s="19" t="str">
        <f>IFERROR(__xludf.DUMMYFUNCTION("""COMPUTED_VALUE"""),"AB_6250")</f>
        <v>AB_6250</v>
      </c>
      <c r="B1608" s="19" t="str">
        <f>IFERROR(__xludf.DUMMYFUNCTION("""COMPUTED_VALUE"""),"AB_6250_D")</f>
        <v>AB_6250_D</v>
      </c>
      <c r="C1608" s="19" t="str">
        <f>IFERROR(__xludf.DUMMYFUNCTION("""COMPUTED_VALUE"""),"OH6250")</f>
        <v>OH6250</v>
      </c>
      <c r="D1608" s="19" t="str">
        <f>IFERROR(__xludf.DUMMYFUNCTION("""COMPUTED_VALUE"""),"Los Almendros Coltauco")</f>
        <v>Los Almendros Coltauco</v>
      </c>
      <c r="E1608" s="19" t="str">
        <f>IFERROR(__xludf.DUMMYFUNCTION("""COMPUTED_VALUE"""),"SITIO RFI")</f>
        <v>SITIO RFI</v>
      </c>
      <c r="F1608" s="19"/>
      <c r="G1608" s="19" t="str">
        <f>IFERROR(__xludf.DUMMYFUNCTION("""COMPUTED_VALUE"""),"x")</f>
        <v>x</v>
      </c>
      <c r="H1608" s="19" t="str">
        <f>IFERROR(__xludf.DUMMYFUNCTION("""COMPUTED_VALUE"""),"x")</f>
        <v>x</v>
      </c>
      <c r="I1608" s="19" t="str">
        <f>IFERROR(__xludf.DUMMYFUNCTION("""COMPUTED_VALUE"""),"x")</f>
        <v>x</v>
      </c>
      <c r="J1608" s="20" t="str">
        <f>IFERROR(__xludf.DUMMYFUNCTION("""COMPUTED_VALUE"""),"x")</f>
        <v>x</v>
      </c>
      <c r="K1608" s="19" t="str">
        <f>IFERROR(__xludf.DUMMYFUNCTION("""COMPUTED_VALUE"""),"x")</f>
        <v>x</v>
      </c>
      <c r="L1608" s="20" t="str">
        <f>IFERROR(__xludf.DUMMYFUNCTION("""COMPUTED_VALUE"""),"x")</f>
        <v>x</v>
      </c>
      <c r="M1608" s="19" t="str">
        <f>IFERROR(__xludf.DUMMYFUNCTION("""COMPUTED_VALUE"""),"PCM")</f>
        <v>PCM</v>
      </c>
      <c r="N1608" s="19" t="str">
        <f>IFERROR(__xludf.DUMMYFUNCTION("""COMPUTED_VALUE"""),"PRIORIDAD 1 Q3 2023 OCTUBRE")</f>
        <v>PRIORIDAD 1 Q3 2023 OCTUBRE</v>
      </c>
    </row>
    <row r="1609" ht="15.75" customHeight="1">
      <c r="A1609" s="19" t="str">
        <f>IFERROR(__xludf.DUMMYFUNCTION("""COMPUTED_VALUE"""),"AB_6797")</f>
        <v>AB_6797</v>
      </c>
      <c r="B1609" s="19" t="str">
        <f>IFERROR(__xludf.DUMMYFUNCTION("""COMPUTED_VALUE"""),"AB_6797_C")</f>
        <v>AB_6797_C</v>
      </c>
      <c r="C1609" s="19" t="str">
        <f>IFERROR(__xludf.DUMMYFUNCTION("""COMPUTED_VALUE"""),"OH6797")</f>
        <v>OH6797</v>
      </c>
      <c r="D1609" s="19" t="str">
        <f>IFERROR(__xludf.DUMMYFUNCTION("""COMPUTED_VALUE"""),"Pichilemu Berna")</f>
        <v>Pichilemu Berna</v>
      </c>
      <c r="E1609" s="19" t="str">
        <f>IFERROR(__xludf.DUMMYFUNCTION("""COMPUTED_VALUE"""),"SITIO RFI")</f>
        <v>SITIO RFI</v>
      </c>
      <c r="F1609" s="19"/>
      <c r="G1609" s="19" t="str">
        <f>IFERROR(__xludf.DUMMYFUNCTION("""COMPUTED_VALUE"""),"x")</f>
        <v>x</v>
      </c>
      <c r="H1609" s="19" t="str">
        <f>IFERROR(__xludf.DUMMYFUNCTION("""COMPUTED_VALUE"""),"x")</f>
        <v>x</v>
      </c>
      <c r="I1609" s="19" t="str">
        <f>IFERROR(__xludf.DUMMYFUNCTION("""COMPUTED_VALUE"""),"x")</f>
        <v>x</v>
      </c>
      <c r="J1609" s="20" t="str">
        <f>IFERROR(__xludf.DUMMYFUNCTION("""COMPUTED_VALUE"""),"x")</f>
        <v>x</v>
      </c>
      <c r="K1609" s="19" t="str">
        <f>IFERROR(__xludf.DUMMYFUNCTION("""COMPUTED_VALUE"""),"x")</f>
        <v>x</v>
      </c>
      <c r="L1609" s="20" t="str">
        <f>IFERROR(__xludf.DUMMYFUNCTION("""COMPUTED_VALUE"""),"x")</f>
        <v>x</v>
      </c>
      <c r="M1609" s="19" t="str">
        <f>IFERROR(__xludf.DUMMYFUNCTION("""COMPUTED_VALUE"""),"PCM")</f>
        <v>PCM</v>
      </c>
      <c r="N1609" s="19" t="str">
        <f>IFERROR(__xludf.DUMMYFUNCTION("""COMPUTED_VALUE"""),"PRIORIDAD 1 Q3 2023 OCTUBRE")</f>
        <v>PRIORIDAD 1 Q3 2023 OCTUBRE</v>
      </c>
    </row>
    <row r="1610" ht="15.75" customHeight="1">
      <c r="A1610" s="19" t="str">
        <f>IFERROR(__xludf.DUMMYFUNCTION("""COMPUTED_VALUE"""),"AB_6798")</f>
        <v>AB_6798</v>
      </c>
      <c r="B1610" s="19" t="str">
        <f>IFERROR(__xludf.DUMMYFUNCTION("""COMPUTED_VALUE"""),"AB_6798_B")</f>
        <v>AB_6798_B</v>
      </c>
      <c r="C1610" s="19" t="str">
        <f>IFERROR(__xludf.DUMMYFUNCTION("""COMPUTED_VALUE"""),"OH6798")</f>
        <v>OH6798</v>
      </c>
      <c r="D1610" s="19" t="str">
        <f>IFERROR(__xludf.DUMMYFUNCTION("""COMPUTED_VALUE"""),"Pichilemu Manuel de Jesus")</f>
        <v>Pichilemu Manuel de Jesus</v>
      </c>
      <c r="E1610" s="19" t="str">
        <f>IFERROR(__xludf.DUMMYFUNCTION("""COMPUTED_VALUE"""),"SITIO RFI")</f>
        <v>SITIO RFI</v>
      </c>
      <c r="F1610" s="19"/>
      <c r="G1610" s="19" t="str">
        <f>IFERROR(__xludf.DUMMYFUNCTION("""COMPUTED_VALUE"""),"x")</f>
        <v>x</v>
      </c>
      <c r="H1610" s="19" t="str">
        <f>IFERROR(__xludf.DUMMYFUNCTION("""COMPUTED_VALUE"""),"x")</f>
        <v>x</v>
      </c>
      <c r="I1610" s="19" t="str">
        <f>IFERROR(__xludf.DUMMYFUNCTION("""COMPUTED_VALUE"""),"x")</f>
        <v>x</v>
      </c>
      <c r="J1610" s="20" t="str">
        <f>IFERROR(__xludf.DUMMYFUNCTION("""COMPUTED_VALUE"""),"x")</f>
        <v>x</v>
      </c>
      <c r="K1610" s="19" t="str">
        <f>IFERROR(__xludf.DUMMYFUNCTION("""COMPUTED_VALUE"""),"x")</f>
        <v>x</v>
      </c>
      <c r="L1610" s="20" t="str">
        <f>IFERROR(__xludf.DUMMYFUNCTION("""COMPUTED_VALUE"""),"x")</f>
        <v>x</v>
      </c>
      <c r="M1610" s="19" t="str">
        <f>IFERROR(__xludf.DUMMYFUNCTION("""COMPUTED_VALUE"""),"PCM")</f>
        <v>PCM</v>
      </c>
      <c r="N1610" s="19" t="str">
        <f>IFERROR(__xludf.DUMMYFUNCTION("""COMPUTED_VALUE"""),"PRIORIDAD 1 Q3 2023 OCTUBRE")</f>
        <v>PRIORIDAD 1 Q3 2023 OCTUBRE</v>
      </c>
    </row>
    <row r="1611" ht="15.75" customHeight="1">
      <c r="A1611" s="19" t="str">
        <f>IFERROR(__xludf.DUMMYFUNCTION("""COMPUTED_VALUE"""),"AB_6805")</f>
        <v>AB_6805</v>
      </c>
      <c r="B1611" s="19" t="str">
        <f>IFERROR(__xludf.DUMMYFUNCTION("""COMPUTED_VALUE"""),"AB_6805_C")</f>
        <v>AB_6805_C</v>
      </c>
      <c r="C1611" s="19" t="str">
        <f>IFERROR(__xludf.DUMMYFUNCTION("""COMPUTED_VALUE"""),"OH6805")</f>
        <v>OH6805</v>
      </c>
      <c r="D1611" s="19" t="str">
        <f>IFERROR(__xludf.DUMMYFUNCTION("""COMPUTED_VALUE"""),"Pichilemu Los Perales")</f>
        <v>Pichilemu Los Perales</v>
      </c>
      <c r="E1611" s="19" t="str">
        <f>IFERROR(__xludf.DUMMYFUNCTION("""COMPUTED_VALUE"""),"SITIO RFI")</f>
        <v>SITIO RFI</v>
      </c>
      <c r="F1611" s="19"/>
      <c r="G1611" s="19" t="str">
        <f>IFERROR(__xludf.DUMMYFUNCTION("""COMPUTED_VALUE"""),"x")</f>
        <v>x</v>
      </c>
      <c r="H1611" s="19" t="str">
        <f>IFERROR(__xludf.DUMMYFUNCTION("""COMPUTED_VALUE"""),"x")</f>
        <v>x</v>
      </c>
      <c r="I1611" s="19" t="str">
        <f>IFERROR(__xludf.DUMMYFUNCTION("""COMPUTED_VALUE"""),"x")</f>
        <v>x</v>
      </c>
      <c r="J1611" s="20" t="str">
        <f>IFERROR(__xludf.DUMMYFUNCTION("""COMPUTED_VALUE"""),"x")</f>
        <v>x</v>
      </c>
      <c r="K1611" s="19" t="str">
        <f>IFERROR(__xludf.DUMMYFUNCTION("""COMPUTED_VALUE"""),"x")</f>
        <v>x</v>
      </c>
      <c r="L1611" s="20" t="str">
        <f>IFERROR(__xludf.DUMMYFUNCTION("""COMPUTED_VALUE"""),"x")</f>
        <v>x</v>
      </c>
      <c r="M1611" s="19" t="str">
        <f>IFERROR(__xludf.DUMMYFUNCTION("""COMPUTED_VALUE"""),"PCM")</f>
        <v>PCM</v>
      </c>
      <c r="N1611" s="19" t="str">
        <f>IFERROR(__xludf.DUMMYFUNCTION("""COMPUTED_VALUE"""),"PRIORIDAD 1 Q3 2023 OCTUBRE")</f>
        <v>PRIORIDAD 1 Q3 2023 OCTUBRE</v>
      </c>
    </row>
    <row r="1612" ht="15.75" customHeight="1">
      <c r="A1612" s="19" t="str">
        <f>IFERROR(__xludf.DUMMYFUNCTION("""COMPUTED_VALUE"""),"AB_6848")</f>
        <v>AB_6848</v>
      </c>
      <c r="B1612" s="19" t="str">
        <f>IFERROR(__xludf.DUMMYFUNCTION("""COMPUTED_VALUE"""),"AB_6848_C")</f>
        <v>AB_6848_C</v>
      </c>
      <c r="C1612" s="19" t="str">
        <f>IFERROR(__xludf.DUMMYFUNCTION("""COMPUTED_VALUE"""),"OH6848")</f>
        <v>OH6848</v>
      </c>
      <c r="D1612" s="19" t="str">
        <f>IFERROR(__xludf.DUMMYFUNCTION("""COMPUTED_VALUE"""),"Pichilemu Cahuil Sur")</f>
        <v>Pichilemu Cahuil Sur</v>
      </c>
      <c r="E1612" s="19" t="str">
        <f>IFERROR(__xludf.DUMMYFUNCTION("""COMPUTED_VALUE"""),"SITIO RFI")</f>
        <v>SITIO RFI</v>
      </c>
      <c r="F1612" s="19"/>
      <c r="G1612" s="19" t="str">
        <f>IFERROR(__xludf.DUMMYFUNCTION("""COMPUTED_VALUE"""),"x")</f>
        <v>x</v>
      </c>
      <c r="H1612" s="19" t="str">
        <f>IFERROR(__xludf.DUMMYFUNCTION("""COMPUTED_VALUE"""),"x")</f>
        <v>x</v>
      </c>
      <c r="I1612" s="19" t="str">
        <f>IFERROR(__xludf.DUMMYFUNCTION("""COMPUTED_VALUE"""),"x")</f>
        <v>x</v>
      </c>
      <c r="J1612" s="20" t="str">
        <f>IFERROR(__xludf.DUMMYFUNCTION("""COMPUTED_VALUE"""),"x")</f>
        <v>x</v>
      </c>
      <c r="K1612" s="19" t="str">
        <f>IFERROR(__xludf.DUMMYFUNCTION("""COMPUTED_VALUE"""),"x")</f>
        <v>x</v>
      </c>
      <c r="L1612" s="20" t="str">
        <f>IFERROR(__xludf.DUMMYFUNCTION("""COMPUTED_VALUE"""),"x")</f>
        <v>x</v>
      </c>
      <c r="M1612" s="19" t="str">
        <f>IFERROR(__xludf.DUMMYFUNCTION("""COMPUTED_VALUE"""),"PCM")</f>
        <v>PCM</v>
      </c>
      <c r="N1612" s="19" t="str">
        <f>IFERROR(__xludf.DUMMYFUNCTION("""COMPUTED_VALUE"""),"PRIORIDAD 1 Q3 2023 OCTUBRE")</f>
        <v>PRIORIDAD 1 Q3 2023 OCTUBRE</v>
      </c>
    </row>
    <row r="1613" ht="15.75" customHeight="1">
      <c r="A1613" s="19" t="str">
        <f>IFERROR(__xludf.DUMMYFUNCTION("""COMPUTED_VALUE"""),"AB_8313")</f>
        <v>AB_8313</v>
      </c>
      <c r="B1613" s="19" t="str">
        <f>IFERROR(__xludf.DUMMYFUNCTION("""COMPUTED_VALUE"""),"AB_8313_A")</f>
        <v>AB_8313_A</v>
      </c>
      <c r="C1613" s="19" t="str">
        <f>IFERROR(__xludf.DUMMYFUNCTION("""COMPUTED_VALUE"""),"OH8313")</f>
        <v>OH8313</v>
      </c>
      <c r="D1613" s="19" t="str">
        <f>IFERROR(__xludf.DUMMYFUNCTION("""COMPUTED_VALUE"""),"Membrillar RU2")</f>
        <v>Membrillar RU2</v>
      </c>
      <c r="E1613" s="19" t="str">
        <f>IFERROR(__xludf.DUMMYFUNCTION("""COMPUTED_VALUE"""),"SITIO RFI")</f>
        <v>SITIO RFI</v>
      </c>
      <c r="F1613" s="19"/>
      <c r="G1613" s="19" t="str">
        <f>IFERROR(__xludf.DUMMYFUNCTION("""COMPUTED_VALUE"""),"x")</f>
        <v>x</v>
      </c>
      <c r="H1613" s="19" t="str">
        <f>IFERROR(__xludf.DUMMYFUNCTION("""COMPUTED_VALUE"""),"x")</f>
        <v>x</v>
      </c>
      <c r="I1613" s="19" t="str">
        <f>IFERROR(__xludf.DUMMYFUNCTION("""COMPUTED_VALUE"""),"x")</f>
        <v>x</v>
      </c>
      <c r="J1613" s="20" t="str">
        <f>IFERROR(__xludf.DUMMYFUNCTION("""COMPUTED_VALUE"""),"x")</f>
        <v>x</v>
      </c>
      <c r="K1613" s="19" t="str">
        <f>IFERROR(__xludf.DUMMYFUNCTION("""COMPUTED_VALUE"""),"x")</f>
        <v>x</v>
      </c>
      <c r="L1613" s="20" t="str">
        <f>IFERROR(__xludf.DUMMYFUNCTION("""COMPUTED_VALUE"""),"x")</f>
        <v>x</v>
      </c>
      <c r="M1613" s="19" t="str">
        <f>IFERROR(__xludf.DUMMYFUNCTION("""COMPUTED_VALUE"""),"PCM_5")</f>
        <v>PCM_5</v>
      </c>
      <c r="N1613" s="19" t="str">
        <f>IFERROR(__xludf.DUMMYFUNCTION("""COMPUTED_VALUE"""),"PCM_5")</f>
        <v>PCM_5</v>
      </c>
    </row>
    <row r="1614" ht="15.75" customHeight="1">
      <c r="A1614" s="19" t="str">
        <f>IFERROR(__xludf.DUMMYFUNCTION("""COMPUTED_VALUE"""),"AB_8335")</f>
        <v>AB_8335</v>
      </c>
      <c r="B1614" s="19" t="str">
        <f>IFERROR(__xludf.DUMMYFUNCTION("""COMPUTED_VALUE"""),"AB_8335_E")</f>
        <v>AB_8335_E</v>
      </c>
      <c r="C1614" s="19" t="str">
        <f>IFERROR(__xludf.DUMMYFUNCTION("""COMPUTED_VALUE"""),"OH8335")</f>
        <v>OH8335</v>
      </c>
      <c r="D1614" s="19" t="str">
        <f>IFERROR(__xludf.DUMMYFUNCTION("""COMPUTED_VALUE"""),"Rosario RU1")</f>
        <v>Rosario RU1</v>
      </c>
      <c r="E1614" s="19" t="str">
        <f>IFERROR(__xludf.DUMMYFUNCTION("""COMPUTED_VALUE"""),"SITIO RFI")</f>
        <v>SITIO RFI</v>
      </c>
      <c r="F1614" s="19"/>
      <c r="G1614" s="19" t="str">
        <f>IFERROR(__xludf.DUMMYFUNCTION("""COMPUTED_VALUE"""),"x")</f>
        <v>x</v>
      </c>
      <c r="H1614" s="19" t="str">
        <f>IFERROR(__xludf.DUMMYFUNCTION("""COMPUTED_VALUE"""),"x")</f>
        <v>x</v>
      </c>
      <c r="I1614" s="19" t="str">
        <f>IFERROR(__xludf.DUMMYFUNCTION("""COMPUTED_VALUE"""),"x")</f>
        <v>x</v>
      </c>
      <c r="J1614" s="20" t="str">
        <f>IFERROR(__xludf.DUMMYFUNCTION("""COMPUTED_VALUE"""),"x")</f>
        <v>x</v>
      </c>
      <c r="K1614" s="19" t="str">
        <f>IFERROR(__xludf.DUMMYFUNCTION("""COMPUTED_VALUE"""),"x")</f>
        <v>x</v>
      </c>
      <c r="L1614" s="20" t="str">
        <f>IFERROR(__xludf.DUMMYFUNCTION("""COMPUTED_VALUE"""),"x")</f>
        <v>x</v>
      </c>
      <c r="M1614" s="19" t="str">
        <f>IFERROR(__xludf.DUMMYFUNCTION("""COMPUTED_VALUE"""),"PCM_5")</f>
        <v>PCM_5</v>
      </c>
      <c r="N1614" s="19" t="str">
        <f>IFERROR(__xludf.DUMMYFUNCTION("""COMPUTED_VALUE"""),"PCM_5")</f>
        <v>PCM_5</v>
      </c>
    </row>
    <row r="1615" ht="15.75" customHeight="1">
      <c r="A1615" s="19" t="str">
        <f>IFERROR(__xludf.DUMMYFUNCTION("""COMPUTED_VALUE"""),"AB_8763")</f>
        <v>AB_8763</v>
      </c>
      <c r="B1615" s="19" t="str">
        <f>IFERROR(__xludf.DUMMYFUNCTION("""COMPUTED_VALUE"""),"AB_8763_E")</f>
        <v>AB_8763_E</v>
      </c>
      <c r="C1615" s="19" t="str">
        <f>IFERROR(__xludf.DUMMYFUNCTION("""COMPUTED_VALUE"""),"OH8763")</f>
        <v>OH8763</v>
      </c>
      <c r="D1615" s="19" t="str">
        <f>IFERROR(__xludf.DUMMYFUNCTION("""COMPUTED_VALUE"""),"Mal Paso Pichidegua")</f>
        <v>Mal Paso Pichidegua</v>
      </c>
      <c r="E1615" s="19" t="str">
        <f>IFERROR(__xludf.DUMMYFUNCTION("""COMPUTED_VALUE"""),"SITIO RFI")</f>
        <v>SITIO RFI</v>
      </c>
      <c r="F1615" s="19"/>
      <c r="G1615" s="19" t="str">
        <f>IFERROR(__xludf.DUMMYFUNCTION("""COMPUTED_VALUE"""),"x")</f>
        <v>x</v>
      </c>
      <c r="H1615" s="19" t="str">
        <f>IFERROR(__xludf.DUMMYFUNCTION("""COMPUTED_VALUE"""),"x")</f>
        <v>x</v>
      </c>
      <c r="I1615" s="19" t="str">
        <f>IFERROR(__xludf.DUMMYFUNCTION("""COMPUTED_VALUE"""),"x")</f>
        <v>x</v>
      </c>
      <c r="J1615" s="20" t="str">
        <f>IFERROR(__xludf.DUMMYFUNCTION("""COMPUTED_VALUE"""),"x")</f>
        <v>x</v>
      </c>
      <c r="K1615" s="19" t="str">
        <f>IFERROR(__xludf.DUMMYFUNCTION("""COMPUTED_VALUE"""),"x")</f>
        <v>x</v>
      </c>
      <c r="L1615" s="20" t="str">
        <f>IFERROR(__xludf.DUMMYFUNCTION("""COMPUTED_VALUE"""),"x")</f>
        <v>x</v>
      </c>
      <c r="M1615" s="19" t="str">
        <f>IFERROR(__xludf.DUMMYFUNCTION("""COMPUTED_VALUE"""),"PCM")</f>
        <v>PCM</v>
      </c>
      <c r="N1615" s="19" t="str">
        <f>IFERROR(__xludf.DUMMYFUNCTION("""COMPUTED_VALUE"""),"PRIORIDAD 1 Q3 2023 OCTUBRE")</f>
        <v>PRIORIDAD 1 Q3 2023 OCTUBRE</v>
      </c>
    </row>
    <row r="1616" ht="15.75" customHeight="1">
      <c r="A1616" s="19" t="str">
        <f>IFERROR(__xludf.DUMMYFUNCTION("""COMPUTED_VALUE"""),"AB_8898")</f>
        <v>AB_8898</v>
      </c>
      <c r="B1616" s="19" t="str">
        <f>IFERROR(__xludf.DUMMYFUNCTION("""COMPUTED_VALUE"""),"AB_8898_A")</f>
        <v>AB_8898_A</v>
      </c>
      <c r="C1616" s="19" t="str">
        <f>IFERROR(__xludf.DUMMYFUNCTION("""COMPUTED_VALUE"""),"OH8898")</f>
        <v>OH8898</v>
      </c>
      <c r="D1616" s="19" t="str">
        <f>IFERROR(__xludf.DUMMYFUNCTION("""COMPUTED_VALUE"""),"Palmilla Abajo")</f>
        <v>Palmilla Abajo</v>
      </c>
      <c r="E1616" s="19" t="str">
        <f>IFERROR(__xludf.DUMMYFUNCTION("""COMPUTED_VALUE"""),"SITIO RFI")</f>
        <v>SITIO RFI</v>
      </c>
      <c r="F1616" s="19"/>
      <c r="G1616" s="19" t="str">
        <f>IFERROR(__xludf.DUMMYFUNCTION("""COMPUTED_VALUE"""),"x")</f>
        <v>x</v>
      </c>
      <c r="H1616" s="19" t="str">
        <f>IFERROR(__xludf.DUMMYFUNCTION("""COMPUTED_VALUE"""),"x")</f>
        <v>x</v>
      </c>
      <c r="I1616" s="19" t="str">
        <f>IFERROR(__xludf.DUMMYFUNCTION("""COMPUTED_VALUE"""),"x")</f>
        <v>x</v>
      </c>
      <c r="J1616" s="20" t="str">
        <f>IFERROR(__xludf.DUMMYFUNCTION("""COMPUTED_VALUE"""),"x")</f>
        <v>x</v>
      </c>
      <c r="K1616" s="19" t="str">
        <f>IFERROR(__xludf.DUMMYFUNCTION("""COMPUTED_VALUE"""),"x")</f>
        <v>x</v>
      </c>
      <c r="L1616" s="20" t="str">
        <f>IFERROR(__xludf.DUMMYFUNCTION("""COMPUTED_VALUE"""),"x")</f>
        <v>x</v>
      </c>
      <c r="M1616" s="19" t="str">
        <f>IFERROR(__xludf.DUMMYFUNCTION("""COMPUTED_VALUE"""),"PCM")</f>
        <v>PCM</v>
      </c>
      <c r="N1616" s="19" t="str">
        <f>IFERROR(__xludf.DUMMYFUNCTION("""COMPUTED_VALUE"""),"PRIORIDAD 1 Q3 2023 OCTUBRE")</f>
        <v>PRIORIDAD 1 Q3 2023 OCTUBRE</v>
      </c>
    </row>
    <row r="1617" ht="15.75" customHeight="1">
      <c r="A1617" s="19" t="str">
        <f>IFERROR(__xludf.DUMMYFUNCTION("""COMPUTED_VALUE"""),"AB_0803")</f>
        <v>AB_0803</v>
      </c>
      <c r="B1617" s="19" t="str">
        <f>IFERROR(__xludf.DUMMYFUNCTION("""COMPUTED_VALUE"""),"AB_0803_B")</f>
        <v>AB_0803_B</v>
      </c>
      <c r="C1617" s="19" t="str">
        <f>IFERROR(__xludf.DUMMYFUNCTION("""COMPUTED_VALUE"""),"RM0803")</f>
        <v>RM0803</v>
      </c>
      <c r="D1617" s="19" t="str">
        <f>IFERROR(__xludf.DUMMYFUNCTION("""COMPUTED_VALUE"""),"Tunel Montegordo")</f>
        <v>Tunel Montegordo</v>
      </c>
      <c r="E1617" s="19" t="str">
        <f>IFERROR(__xludf.DUMMYFUNCTION("""COMPUTED_VALUE"""),"SITIO RFI")</f>
        <v>SITIO RFI</v>
      </c>
      <c r="F1617" s="19"/>
      <c r="G1617" s="19" t="str">
        <f>IFERROR(__xludf.DUMMYFUNCTION("""COMPUTED_VALUE"""),"x")</f>
        <v>x</v>
      </c>
      <c r="H1617" s="19" t="str">
        <f>IFERROR(__xludf.DUMMYFUNCTION("""COMPUTED_VALUE"""),"x")</f>
        <v>x</v>
      </c>
      <c r="I1617" s="19" t="str">
        <f>IFERROR(__xludf.DUMMYFUNCTION("""COMPUTED_VALUE"""),"x")</f>
        <v>x</v>
      </c>
      <c r="J1617" s="20" t="str">
        <f>IFERROR(__xludf.DUMMYFUNCTION("""COMPUTED_VALUE"""),"x")</f>
        <v>x</v>
      </c>
      <c r="K1617" s="19" t="str">
        <f>IFERROR(__xludf.DUMMYFUNCTION("""COMPUTED_VALUE"""),"x")</f>
        <v>x</v>
      </c>
      <c r="L1617" s="20" t="str">
        <f>IFERROR(__xludf.DUMMYFUNCTION("""COMPUTED_VALUE"""),"x")</f>
        <v>x</v>
      </c>
      <c r="M1617" s="19" t="str">
        <f>IFERROR(__xludf.DUMMYFUNCTION("""COMPUTED_VALUE"""),"PCM")</f>
        <v>PCM</v>
      </c>
      <c r="N1617" s="19" t="str">
        <f>IFERROR(__xludf.DUMMYFUNCTION("""COMPUTED_VALUE"""),"PRIORIDAD 1 Q3 2023 OCTUBRE")</f>
        <v>PRIORIDAD 1 Q3 2023 OCTUBRE</v>
      </c>
    </row>
    <row r="1618" ht="15.75" customHeight="1">
      <c r="A1618" s="19" t="str">
        <f>IFERROR(__xludf.DUMMYFUNCTION("""COMPUTED_VALUE"""),"AB_10323")</f>
        <v>AB_10323</v>
      </c>
      <c r="B1618" s="19" t="str">
        <f>IFERROR(__xludf.DUMMYFUNCTION("""COMPUTED_VALUE"""),"AB_10323_J")</f>
        <v>AB_10323_J</v>
      </c>
      <c r="C1618" s="19" t="str">
        <f>IFERROR(__xludf.DUMMYFUNCTION("""COMPUTED_VALUE"""),"RM10323")</f>
        <v>RM10323</v>
      </c>
      <c r="D1618" s="19" t="str">
        <f>IFERROR(__xludf.DUMMYFUNCTION("""COMPUTED_VALUE"""),"Hospital de Curacavi")</f>
        <v>Hospital de Curacavi</v>
      </c>
      <c r="E1618" s="19" t="str">
        <f>IFERROR(__xludf.DUMMYFUNCTION("""COMPUTED_VALUE"""),"SITIO CONSTRUIDO")</f>
        <v>SITIO CONSTRUIDO</v>
      </c>
      <c r="F1618" s="19"/>
      <c r="G1618" s="19" t="str">
        <f>IFERROR(__xludf.DUMMYFUNCTION("""COMPUTED_VALUE"""),"x")</f>
        <v>x</v>
      </c>
      <c r="H1618" s="19" t="str">
        <f>IFERROR(__xludf.DUMMYFUNCTION("""COMPUTED_VALUE"""),"x")</f>
        <v>x</v>
      </c>
      <c r="I1618" s="19" t="str">
        <f>IFERROR(__xludf.DUMMYFUNCTION("""COMPUTED_VALUE"""),"x")</f>
        <v>x</v>
      </c>
      <c r="J1618" s="20" t="str">
        <f>IFERROR(__xludf.DUMMYFUNCTION("""COMPUTED_VALUE"""),"x")</f>
        <v>x</v>
      </c>
      <c r="K1618" s="19" t="str">
        <f>IFERROR(__xludf.DUMMYFUNCTION("""COMPUTED_VALUE"""),"x")</f>
        <v>x</v>
      </c>
      <c r="L1618" s="20" t="str">
        <f>IFERROR(__xludf.DUMMYFUNCTION("""COMPUTED_VALUE"""),"x")</f>
        <v>x</v>
      </c>
      <c r="M1618" s="19" t="str">
        <f>IFERROR(__xludf.DUMMYFUNCTION("""COMPUTED_VALUE"""),"PCM")</f>
        <v>PCM</v>
      </c>
      <c r="N1618" s="19" t="str">
        <f>IFERROR(__xludf.DUMMYFUNCTION("""COMPUTED_VALUE"""),"PRIORIDAD 3 Q1 2024 MARZO")</f>
        <v>PRIORIDAD 3 Q1 2024 MARZO</v>
      </c>
    </row>
    <row r="1619" ht="15.75" customHeight="1">
      <c r="A1619" s="19" t="str">
        <f>IFERROR(__xludf.DUMMYFUNCTION("""COMPUTED_VALUE"""),"AB_10356")</f>
        <v>AB_10356</v>
      </c>
      <c r="B1619" s="19" t="str">
        <f>IFERROR(__xludf.DUMMYFUNCTION("""COMPUTED_VALUE"""),"AB_10356_D")</f>
        <v>AB_10356_D</v>
      </c>
      <c r="C1619" s="19" t="str">
        <f>IFERROR(__xludf.DUMMYFUNCTION("""COMPUTED_VALUE"""),"RM10356")</f>
        <v>RM10356</v>
      </c>
      <c r="D1619" s="19" t="str">
        <f>IFERROR(__xludf.DUMMYFUNCTION("""COMPUTED_VALUE"""),"Las Violetas 5G")</f>
        <v>Las Violetas 5G</v>
      </c>
      <c r="E1619" s="19" t="str">
        <f>IFERROR(__xludf.DUMMYFUNCTION("""COMPUTED_VALUE"""),"SITIO RFI")</f>
        <v>SITIO RFI</v>
      </c>
      <c r="F1619" s="19"/>
      <c r="G1619" s="19" t="str">
        <f>IFERROR(__xludf.DUMMYFUNCTION("""COMPUTED_VALUE"""),"x")</f>
        <v>x</v>
      </c>
      <c r="H1619" s="19" t="str">
        <f>IFERROR(__xludf.DUMMYFUNCTION("""COMPUTED_VALUE"""),"x")</f>
        <v>x</v>
      </c>
      <c r="I1619" s="19" t="str">
        <f>IFERROR(__xludf.DUMMYFUNCTION("""COMPUTED_VALUE"""),"x")</f>
        <v>x</v>
      </c>
      <c r="J1619" s="20" t="str">
        <f>IFERROR(__xludf.DUMMYFUNCTION("""COMPUTED_VALUE"""),"x")</f>
        <v>x</v>
      </c>
      <c r="K1619" s="19" t="str">
        <f>IFERROR(__xludf.DUMMYFUNCTION("""COMPUTED_VALUE"""),"x")</f>
        <v>x</v>
      </c>
      <c r="L1619" s="20" t="str">
        <f>IFERROR(__xludf.DUMMYFUNCTION("""COMPUTED_VALUE"""),"x")</f>
        <v>x</v>
      </c>
      <c r="M1619" s="19" t="str">
        <f>IFERROR(__xludf.DUMMYFUNCTION("""COMPUTED_VALUE"""),"PCM")</f>
        <v>PCM</v>
      </c>
      <c r="N1619" s="19" t="str">
        <f>IFERROR(__xludf.DUMMYFUNCTION("""COMPUTED_VALUE"""),"PRIORIDAD 1 Q3 2023 OCTUBRE")</f>
        <v>PRIORIDAD 1 Q3 2023 OCTUBRE</v>
      </c>
    </row>
    <row r="1620" ht="15.75" customHeight="1">
      <c r="A1620" s="19" t="str">
        <f>IFERROR(__xludf.DUMMYFUNCTION("""COMPUTED_VALUE"""),"AB_10629")</f>
        <v>AB_10629</v>
      </c>
      <c r="B1620" s="19" t="str">
        <f>IFERROR(__xludf.DUMMYFUNCTION("""COMPUTED_VALUE"""),"AB_10629_B")</f>
        <v>AB_10629_B</v>
      </c>
      <c r="C1620" s="19" t="str">
        <f>IFERROR(__xludf.DUMMYFUNCTION("""COMPUTED_VALUE"""),"RM10629")</f>
        <v>RM10629</v>
      </c>
      <c r="D1620" s="19" t="str">
        <f>IFERROR(__xludf.DUMMYFUNCTION("""COMPUTED_VALUE"""),"Marina Chica RU")</f>
        <v>Marina Chica RU</v>
      </c>
      <c r="E1620" s="19" t="str">
        <f>IFERROR(__xludf.DUMMYFUNCTION("""COMPUTED_VALUE"""),"SITIO RFI")</f>
        <v>SITIO RFI</v>
      </c>
      <c r="F1620" s="19"/>
      <c r="G1620" s="19" t="str">
        <f>IFERROR(__xludf.DUMMYFUNCTION("""COMPUTED_VALUE"""),"x")</f>
        <v>x</v>
      </c>
      <c r="H1620" s="19" t="str">
        <f>IFERROR(__xludf.DUMMYFUNCTION("""COMPUTED_VALUE"""),"x")</f>
        <v>x</v>
      </c>
      <c r="I1620" s="19" t="str">
        <f>IFERROR(__xludf.DUMMYFUNCTION("""COMPUTED_VALUE"""),"x")</f>
        <v>x</v>
      </c>
      <c r="J1620" s="20" t="str">
        <f>IFERROR(__xludf.DUMMYFUNCTION("""COMPUTED_VALUE"""),"x")</f>
        <v>x</v>
      </c>
      <c r="K1620" s="19" t="str">
        <f>IFERROR(__xludf.DUMMYFUNCTION("""COMPUTED_VALUE"""),"x")</f>
        <v>x</v>
      </c>
      <c r="L1620" s="20" t="str">
        <f>IFERROR(__xludf.DUMMYFUNCTION("""COMPUTED_VALUE"""),"x")</f>
        <v>x</v>
      </c>
      <c r="M1620" s="19" t="str">
        <f>IFERROR(__xludf.DUMMYFUNCTION("""COMPUTED_VALUE"""),"PCM")</f>
        <v>PCM</v>
      </c>
      <c r="N1620" s="19" t="str">
        <f>IFERROR(__xludf.DUMMYFUNCTION("""COMPUTED_VALUE"""),"PRIORIDAD 1 Q3 2023 OCTUBRE")</f>
        <v>PRIORIDAD 1 Q3 2023 OCTUBRE</v>
      </c>
    </row>
    <row r="1621" ht="15.75" customHeight="1">
      <c r="A1621" s="19" t="str">
        <f>IFERROR(__xludf.DUMMYFUNCTION("""COMPUTED_VALUE"""),"AB_10646")</f>
        <v>AB_10646</v>
      </c>
      <c r="B1621" s="19" t="str">
        <f>IFERROR(__xludf.DUMMYFUNCTION("""COMPUTED_VALUE"""),"AB_10646_A")</f>
        <v>AB_10646_A</v>
      </c>
      <c r="C1621" s="19" t="str">
        <f>IFERROR(__xludf.DUMMYFUNCTION("""COMPUTED_VALUE"""),"RM10646")</f>
        <v>RM10646</v>
      </c>
      <c r="D1621" s="19" t="str">
        <f>IFERROR(__xludf.DUMMYFUNCTION("""COMPUTED_VALUE"""),"Nueva Club de Tenis El Alba")</f>
        <v>Nueva Club de Tenis El Alba</v>
      </c>
      <c r="E1621" s="19" t="str">
        <f>IFERROR(__xludf.DUMMYFUNCTION("""COMPUTED_VALUE"""),"SITIO RFI")</f>
        <v>SITIO RFI</v>
      </c>
      <c r="F1621" s="19"/>
      <c r="G1621" s="19" t="str">
        <f>IFERROR(__xludf.DUMMYFUNCTION("""COMPUTED_VALUE"""),"x")</f>
        <v>x</v>
      </c>
      <c r="H1621" s="19" t="str">
        <f>IFERROR(__xludf.DUMMYFUNCTION("""COMPUTED_VALUE"""),"x")</f>
        <v>x</v>
      </c>
      <c r="I1621" s="19" t="str">
        <f>IFERROR(__xludf.DUMMYFUNCTION("""COMPUTED_VALUE"""),"x")</f>
        <v>x</v>
      </c>
      <c r="J1621" s="20" t="str">
        <f>IFERROR(__xludf.DUMMYFUNCTION("""COMPUTED_VALUE"""),"x")</f>
        <v>x</v>
      </c>
      <c r="K1621" s="19" t="str">
        <f>IFERROR(__xludf.DUMMYFUNCTION("""COMPUTED_VALUE"""),"x")</f>
        <v>x</v>
      </c>
      <c r="L1621" s="20" t="str">
        <f>IFERROR(__xludf.DUMMYFUNCTION("""COMPUTED_VALUE"""),"x")</f>
        <v>x</v>
      </c>
      <c r="M1621" s="19" t="str">
        <f>IFERROR(__xludf.DUMMYFUNCTION("""COMPUTED_VALUE"""),"PCM")</f>
        <v>PCM</v>
      </c>
      <c r="N1621" s="19" t="str">
        <f>IFERROR(__xludf.DUMMYFUNCTION("""COMPUTED_VALUE"""),"PRIORIDAD 1 Q3 2023 OCTUBRE")</f>
        <v>PRIORIDAD 1 Q3 2023 OCTUBRE</v>
      </c>
    </row>
    <row r="1622" ht="15.75" customHeight="1">
      <c r="A1622" s="19" t="str">
        <f>IFERROR(__xludf.DUMMYFUNCTION("""COMPUTED_VALUE"""),"AB_10754")</f>
        <v>AB_10754</v>
      </c>
      <c r="B1622" s="19" t="str">
        <f>IFERROR(__xludf.DUMMYFUNCTION("""COMPUTED_VALUE"""),"AB_10754_A")</f>
        <v>AB_10754_A</v>
      </c>
      <c r="C1622" s="19" t="str">
        <f>IFERROR(__xludf.DUMMYFUNCTION("""COMPUTED_VALUE"""),"RM10754")</f>
        <v>RM10754</v>
      </c>
      <c r="D1622" s="19" t="str">
        <f>IFERROR(__xludf.DUMMYFUNCTION("""COMPUTED_VALUE"""),"Latorre La Pintana RU")</f>
        <v>Latorre La Pintana RU</v>
      </c>
      <c r="E1622" s="19" t="str">
        <f>IFERROR(__xludf.DUMMYFUNCTION("""COMPUTED_VALUE"""),"SITIO RFI")</f>
        <v>SITIO RFI</v>
      </c>
      <c r="F1622" s="19"/>
      <c r="G1622" s="19" t="str">
        <f>IFERROR(__xludf.DUMMYFUNCTION("""COMPUTED_VALUE"""),"x")</f>
        <v>x</v>
      </c>
      <c r="H1622" s="19" t="str">
        <f>IFERROR(__xludf.DUMMYFUNCTION("""COMPUTED_VALUE"""),"x")</f>
        <v>x</v>
      </c>
      <c r="I1622" s="19" t="str">
        <f>IFERROR(__xludf.DUMMYFUNCTION("""COMPUTED_VALUE"""),"x")</f>
        <v>x</v>
      </c>
      <c r="J1622" s="20" t="str">
        <f>IFERROR(__xludf.DUMMYFUNCTION("""COMPUTED_VALUE"""),"x")</f>
        <v>x</v>
      </c>
      <c r="K1622" s="19" t="str">
        <f>IFERROR(__xludf.DUMMYFUNCTION("""COMPUTED_VALUE"""),"x")</f>
        <v>x</v>
      </c>
      <c r="L1622" s="20" t="str">
        <f>IFERROR(__xludf.DUMMYFUNCTION("""COMPUTED_VALUE"""),"x")</f>
        <v>x</v>
      </c>
      <c r="M1622" s="19" t="str">
        <f>IFERROR(__xludf.DUMMYFUNCTION("""COMPUTED_VALUE"""),"PCM")</f>
        <v>PCM</v>
      </c>
      <c r="N1622" s="19" t="str">
        <f>IFERROR(__xludf.DUMMYFUNCTION("""COMPUTED_VALUE"""),"PRIORIDAD 1 Q3 2023 OCTUBRE")</f>
        <v>PRIORIDAD 1 Q3 2023 OCTUBRE</v>
      </c>
    </row>
    <row r="1623" ht="15.75" customHeight="1">
      <c r="A1623" s="19" t="str">
        <f>IFERROR(__xludf.DUMMYFUNCTION("""COMPUTED_VALUE"""),"AB_10772")</f>
        <v>AB_10772</v>
      </c>
      <c r="B1623" s="19" t="str">
        <f>IFERROR(__xludf.DUMMYFUNCTION("""COMPUTED_VALUE"""),"AB_10772_A")</f>
        <v>AB_10772_A</v>
      </c>
      <c r="C1623" s="19" t="str">
        <f>IFERROR(__xludf.DUMMYFUNCTION("""COMPUTED_VALUE"""),"RM10772")</f>
        <v>RM10772</v>
      </c>
      <c r="D1623" s="19" t="str">
        <f>IFERROR(__xludf.DUMMYFUNCTION("""COMPUTED_VALUE"""),"Casas Viejas El Mirador RU")</f>
        <v>Casas Viejas El Mirador RU</v>
      </c>
      <c r="E1623" s="19" t="str">
        <f>IFERROR(__xludf.DUMMYFUNCTION("""COMPUTED_VALUE"""),"SITIO RFI")</f>
        <v>SITIO RFI</v>
      </c>
      <c r="F1623" s="19"/>
      <c r="G1623" s="19" t="str">
        <f>IFERROR(__xludf.DUMMYFUNCTION("""COMPUTED_VALUE"""),"x")</f>
        <v>x</v>
      </c>
      <c r="H1623" s="19" t="str">
        <f>IFERROR(__xludf.DUMMYFUNCTION("""COMPUTED_VALUE"""),"x")</f>
        <v>x</v>
      </c>
      <c r="I1623" s="19" t="str">
        <f>IFERROR(__xludf.DUMMYFUNCTION("""COMPUTED_VALUE"""),"x")</f>
        <v>x</v>
      </c>
      <c r="J1623" s="20" t="str">
        <f>IFERROR(__xludf.DUMMYFUNCTION("""COMPUTED_VALUE"""),"x")</f>
        <v>x</v>
      </c>
      <c r="K1623" s="19" t="str">
        <f>IFERROR(__xludf.DUMMYFUNCTION("""COMPUTED_VALUE"""),"x")</f>
        <v>x</v>
      </c>
      <c r="L1623" s="20" t="str">
        <f>IFERROR(__xludf.DUMMYFUNCTION("""COMPUTED_VALUE"""),"x")</f>
        <v>x</v>
      </c>
      <c r="M1623" s="19" t="str">
        <f>IFERROR(__xludf.DUMMYFUNCTION("""COMPUTED_VALUE"""),"PCM")</f>
        <v>PCM</v>
      </c>
      <c r="N1623" s="19" t="str">
        <f>IFERROR(__xludf.DUMMYFUNCTION("""COMPUTED_VALUE"""),"PRIORIDAD 1 Q3 2023 OCTUBRE")</f>
        <v>PRIORIDAD 1 Q3 2023 OCTUBRE</v>
      </c>
    </row>
    <row r="1624" ht="15.75" customHeight="1">
      <c r="A1624" s="19" t="str">
        <f>IFERROR(__xludf.DUMMYFUNCTION("""COMPUTED_VALUE"""),"AB_10846")</f>
        <v>AB_10846</v>
      </c>
      <c r="B1624" s="19" t="str">
        <f>IFERROR(__xludf.DUMMYFUNCTION("""COMPUTED_VALUE"""),"AB_10846_C")</f>
        <v>AB_10846_C</v>
      </c>
      <c r="C1624" s="19" t="str">
        <f>IFERROR(__xludf.DUMMYFUNCTION("""COMPUTED_VALUE"""),"RM10846")</f>
        <v>RM10846</v>
      </c>
      <c r="D1624" s="19" t="str">
        <f>IFERROR(__xludf.DUMMYFUNCTION("""COMPUTED_VALUE"""),"Frutillar Renca")</f>
        <v>Frutillar Renca</v>
      </c>
      <c r="E1624" s="19" t="str">
        <f>IFERROR(__xludf.DUMMYFUNCTION("""COMPUTED_VALUE"""),"SITIO RFI")</f>
        <v>SITIO RFI</v>
      </c>
      <c r="F1624" s="19"/>
      <c r="G1624" s="19" t="str">
        <f>IFERROR(__xludf.DUMMYFUNCTION("""COMPUTED_VALUE"""),"x")</f>
        <v>x</v>
      </c>
      <c r="H1624" s="19" t="str">
        <f>IFERROR(__xludf.DUMMYFUNCTION("""COMPUTED_VALUE"""),"x")</f>
        <v>x</v>
      </c>
      <c r="I1624" s="19" t="str">
        <f>IFERROR(__xludf.DUMMYFUNCTION("""COMPUTED_VALUE"""),"x")</f>
        <v>x</v>
      </c>
      <c r="J1624" s="20" t="str">
        <f>IFERROR(__xludf.DUMMYFUNCTION("""COMPUTED_VALUE"""),"x")</f>
        <v>x</v>
      </c>
      <c r="K1624" s="19" t="str">
        <f>IFERROR(__xludf.DUMMYFUNCTION("""COMPUTED_VALUE"""),"x")</f>
        <v>x</v>
      </c>
      <c r="L1624" s="20" t="str">
        <f>IFERROR(__xludf.DUMMYFUNCTION("""COMPUTED_VALUE"""),"x")</f>
        <v>x</v>
      </c>
      <c r="M1624" s="19" t="str">
        <f>IFERROR(__xludf.DUMMYFUNCTION("""COMPUTED_VALUE"""),"PCM_4")</f>
        <v>PCM_4</v>
      </c>
      <c r="N1624" s="19" t="str">
        <f>IFERROR(__xludf.DUMMYFUNCTION("""COMPUTED_VALUE"""),"PRIORIDAD 3 Q1 2024 MARZO")</f>
        <v>PRIORIDAD 3 Q1 2024 MARZO</v>
      </c>
    </row>
    <row r="1625" ht="15.75" customHeight="1">
      <c r="A1625" s="19" t="str">
        <f>IFERROR(__xludf.DUMMYFUNCTION("""COMPUTED_VALUE"""),"AB_10884")</f>
        <v>AB_10884</v>
      </c>
      <c r="B1625" s="19" t="str">
        <f>IFERROR(__xludf.DUMMYFUNCTION("""COMPUTED_VALUE"""),"AB_10884_A")</f>
        <v>AB_10884_A</v>
      </c>
      <c r="C1625" s="19" t="str">
        <f>IFERROR(__xludf.DUMMYFUNCTION("""COMPUTED_VALUE"""),"RM10884")</f>
        <v>RM10884</v>
      </c>
      <c r="D1625" s="19" t="str">
        <f>IFERROR(__xludf.DUMMYFUNCTION("""COMPUTED_VALUE"""),"Las Palomas de San Jose")</f>
        <v>Las Palomas de San Jose</v>
      </c>
      <c r="E1625" s="19" t="str">
        <f>IFERROR(__xludf.DUMMYFUNCTION("""COMPUTED_VALUE"""),"SITIO RFI")</f>
        <v>SITIO RFI</v>
      </c>
      <c r="F1625" s="19"/>
      <c r="G1625" s="19" t="str">
        <f>IFERROR(__xludf.DUMMYFUNCTION("""COMPUTED_VALUE"""),"x")</f>
        <v>x</v>
      </c>
      <c r="H1625" s="19" t="str">
        <f>IFERROR(__xludf.DUMMYFUNCTION("""COMPUTED_VALUE"""),"x")</f>
        <v>x</v>
      </c>
      <c r="I1625" s="19" t="str">
        <f>IFERROR(__xludf.DUMMYFUNCTION("""COMPUTED_VALUE"""),"x")</f>
        <v>x</v>
      </c>
      <c r="J1625" s="20" t="str">
        <f>IFERROR(__xludf.DUMMYFUNCTION("""COMPUTED_VALUE"""),"x")</f>
        <v>x</v>
      </c>
      <c r="K1625" s="19" t="str">
        <f>IFERROR(__xludf.DUMMYFUNCTION("""COMPUTED_VALUE"""),"x")</f>
        <v>x</v>
      </c>
      <c r="L1625" s="20" t="str">
        <f>IFERROR(__xludf.DUMMYFUNCTION("""COMPUTED_VALUE"""),"x")</f>
        <v>x</v>
      </c>
      <c r="M1625" s="19" t="str">
        <f>IFERROR(__xludf.DUMMYFUNCTION("""COMPUTED_VALUE"""),"PCM")</f>
        <v>PCM</v>
      </c>
      <c r="N1625" s="19" t="str">
        <f>IFERROR(__xludf.DUMMYFUNCTION("""COMPUTED_VALUE"""),"PRIORIDAD 1 Q3 2023 OCTUBRE")</f>
        <v>PRIORIDAD 1 Q3 2023 OCTUBRE</v>
      </c>
    </row>
    <row r="1626" ht="15.75" customHeight="1">
      <c r="A1626" s="19" t="str">
        <f>IFERROR(__xludf.DUMMYFUNCTION("""COMPUTED_VALUE"""),"AB_11163")</f>
        <v>AB_11163</v>
      </c>
      <c r="B1626" s="19" t="str">
        <f>IFERROR(__xludf.DUMMYFUNCTION("""COMPUTED_VALUE"""),"AB_11163_A")</f>
        <v>AB_11163_A</v>
      </c>
      <c r="C1626" s="19" t="str">
        <f>IFERROR(__xludf.DUMMYFUNCTION("""COMPUTED_VALUE"""),"RM11163")</f>
        <v>RM11163</v>
      </c>
      <c r="D1626" s="19" t="str">
        <f>IFERROR(__xludf.DUMMYFUNCTION("""COMPUTED_VALUE"""),"FRANKLIN RU2")</f>
        <v>FRANKLIN RU2</v>
      </c>
      <c r="E1626" s="19" t="str">
        <f>IFERROR(__xludf.DUMMYFUNCTION("""COMPUTED_VALUE"""),"SITIO RFI")</f>
        <v>SITIO RFI</v>
      </c>
      <c r="F1626" s="19"/>
      <c r="G1626" s="19" t="str">
        <f>IFERROR(__xludf.DUMMYFUNCTION("""COMPUTED_VALUE"""),"x")</f>
        <v>x</v>
      </c>
      <c r="H1626" s="19" t="str">
        <f>IFERROR(__xludf.DUMMYFUNCTION("""COMPUTED_VALUE"""),"x")</f>
        <v>x</v>
      </c>
      <c r="I1626" s="19" t="str">
        <f>IFERROR(__xludf.DUMMYFUNCTION("""COMPUTED_VALUE"""),"x")</f>
        <v>x</v>
      </c>
      <c r="J1626" s="20" t="str">
        <f>IFERROR(__xludf.DUMMYFUNCTION("""COMPUTED_VALUE"""),"x")</f>
        <v>x</v>
      </c>
      <c r="K1626" s="19" t="str">
        <f>IFERROR(__xludf.DUMMYFUNCTION("""COMPUTED_VALUE"""),"x")</f>
        <v>x</v>
      </c>
      <c r="L1626" s="20" t="str">
        <f>IFERROR(__xludf.DUMMYFUNCTION("""COMPUTED_VALUE"""),"x")</f>
        <v>x</v>
      </c>
      <c r="M1626" s="19" t="str">
        <f>IFERROR(__xludf.DUMMYFUNCTION("""COMPUTED_VALUE"""),"PCM")</f>
        <v>PCM</v>
      </c>
      <c r="N1626" s="19" t="str">
        <f>IFERROR(__xludf.DUMMYFUNCTION("""COMPUTED_VALUE"""),"PRIORIDAD 1 Q3 2023 OCTUBRE")</f>
        <v>PRIORIDAD 1 Q3 2023 OCTUBRE</v>
      </c>
    </row>
    <row r="1627" ht="15.75" customHeight="1">
      <c r="A1627" s="19" t="str">
        <f>IFERROR(__xludf.DUMMYFUNCTION("""COMPUTED_VALUE"""),"AB_11165")</f>
        <v>AB_11165</v>
      </c>
      <c r="B1627" s="19" t="str">
        <f>IFERROR(__xludf.DUMMYFUNCTION("""COMPUTED_VALUE"""),"AB_11165_A")</f>
        <v>AB_11165_A</v>
      </c>
      <c r="C1627" s="19" t="str">
        <f>IFERROR(__xludf.DUMMYFUNCTION("""COMPUTED_VALUE"""),"RM11165")</f>
        <v>RM11165</v>
      </c>
      <c r="D1627" s="19" t="str">
        <f>IFERROR(__xludf.DUMMYFUNCTION("""COMPUTED_VALUE"""),"FRANKLIN RU3")</f>
        <v>FRANKLIN RU3</v>
      </c>
      <c r="E1627" s="19" t="str">
        <f>IFERROR(__xludf.DUMMYFUNCTION("""COMPUTED_VALUE"""),"SITIO RFI")</f>
        <v>SITIO RFI</v>
      </c>
      <c r="F1627" s="19"/>
      <c r="G1627" s="19" t="str">
        <f>IFERROR(__xludf.DUMMYFUNCTION("""COMPUTED_VALUE"""),"x")</f>
        <v>x</v>
      </c>
      <c r="H1627" s="19" t="str">
        <f>IFERROR(__xludf.DUMMYFUNCTION("""COMPUTED_VALUE"""),"x")</f>
        <v>x</v>
      </c>
      <c r="I1627" s="19" t="str">
        <f>IFERROR(__xludf.DUMMYFUNCTION("""COMPUTED_VALUE"""),"x")</f>
        <v>x</v>
      </c>
      <c r="J1627" s="20" t="str">
        <f>IFERROR(__xludf.DUMMYFUNCTION("""COMPUTED_VALUE"""),"x")</f>
        <v>x</v>
      </c>
      <c r="K1627" s="19" t="str">
        <f>IFERROR(__xludf.DUMMYFUNCTION("""COMPUTED_VALUE"""),"x")</f>
        <v>x</v>
      </c>
      <c r="L1627" s="20" t="str">
        <f>IFERROR(__xludf.DUMMYFUNCTION("""COMPUTED_VALUE"""),"x")</f>
        <v>x</v>
      </c>
      <c r="M1627" s="19" t="str">
        <f>IFERROR(__xludf.DUMMYFUNCTION("""COMPUTED_VALUE"""),"PCM")</f>
        <v>PCM</v>
      </c>
      <c r="N1627" s="19" t="str">
        <f>IFERROR(__xludf.DUMMYFUNCTION("""COMPUTED_VALUE"""),"PRIORIDAD 1 Q3 2023 OCTUBRE")</f>
        <v>PRIORIDAD 1 Q3 2023 OCTUBRE</v>
      </c>
    </row>
    <row r="1628" ht="15.75" customHeight="1">
      <c r="A1628" s="19" t="str">
        <f>IFERROR(__xludf.DUMMYFUNCTION("""COMPUTED_VALUE"""),"AB_11181")</f>
        <v>AB_11181</v>
      </c>
      <c r="B1628" s="19" t="str">
        <f>IFERROR(__xludf.DUMMYFUNCTION("""COMPUTED_VALUE"""),"AB_11181_G")</f>
        <v>AB_11181_G</v>
      </c>
      <c r="C1628" s="19" t="str">
        <f>IFERROR(__xludf.DUMMYFUNCTION("""COMPUTED_VALUE"""),"RM11181")</f>
        <v>RM11181</v>
      </c>
      <c r="D1628" s="19" t="str">
        <f>IFERROR(__xludf.DUMMYFUNCTION("""COMPUTED_VALUE"""),"Villarroel Zañartu RU")</f>
        <v>Villarroel Zañartu RU</v>
      </c>
      <c r="E1628" s="19" t="str">
        <f>IFERROR(__xludf.DUMMYFUNCTION("""COMPUTED_VALUE"""),"SITIO RFI")</f>
        <v>SITIO RFI</v>
      </c>
      <c r="F1628" s="19"/>
      <c r="G1628" s="19" t="str">
        <f>IFERROR(__xludf.DUMMYFUNCTION("""COMPUTED_VALUE"""),"x")</f>
        <v>x</v>
      </c>
      <c r="H1628" s="19" t="str">
        <f>IFERROR(__xludf.DUMMYFUNCTION("""COMPUTED_VALUE"""),"x")</f>
        <v>x</v>
      </c>
      <c r="I1628" s="19" t="str">
        <f>IFERROR(__xludf.DUMMYFUNCTION("""COMPUTED_VALUE"""),"x")</f>
        <v>x</v>
      </c>
      <c r="J1628" s="20" t="str">
        <f>IFERROR(__xludf.DUMMYFUNCTION("""COMPUTED_VALUE"""),"x")</f>
        <v>x</v>
      </c>
      <c r="K1628" s="19" t="str">
        <f>IFERROR(__xludf.DUMMYFUNCTION("""COMPUTED_VALUE"""),"x")</f>
        <v>x</v>
      </c>
      <c r="L1628" s="20" t="str">
        <f>IFERROR(__xludf.DUMMYFUNCTION("""COMPUTED_VALUE"""),"x")</f>
        <v>x</v>
      </c>
      <c r="M1628" s="19" t="str">
        <f>IFERROR(__xludf.DUMMYFUNCTION("""COMPUTED_VALUE"""),"PCM")</f>
        <v>PCM</v>
      </c>
      <c r="N1628" s="19" t="str">
        <f>IFERROR(__xludf.DUMMYFUNCTION("""COMPUTED_VALUE"""),"PRIORIDAD 1 Q3 2023 OCTUBRE")</f>
        <v>PRIORIDAD 1 Q3 2023 OCTUBRE</v>
      </c>
    </row>
    <row r="1629" ht="15.75" customHeight="1">
      <c r="A1629" s="19" t="str">
        <f>IFERROR(__xludf.DUMMYFUNCTION("""COMPUTED_VALUE"""),"AB_11190")</f>
        <v>AB_11190</v>
      </c>
      <c r="B1629" s="19" t="str">
        <f>IFERROR(__xludf.DUMMYFUNCTION("""COMPUTED_VALUE"""),"AB_11190_A")</f>
        <v>AB_11190_A</v>
      </c>
      <c r="C1629" s="19" t="str">
        <f>IFERROR(__xludf.DUMMYFUNCTION("""COMPUTED_VALUE"""),"RM11190")</f>
        <v>RM11190</v>
      </c>
      <c r="D1629" s="19" t="str">
        <f>IFERROR(__xludf.DUMMYFUNCTION("""COMPUTED_VALUE"""),"Jose Simeon 5G")</f>
        <v>Jose Simeon 5G</v>
      </c>
      <c r="E1629" s="19" t="str">
        <f>IFERROR(__xludf.DUMMYFUNCTION("""COMPUTED_VALUE"""),"SITIO RFI")</f>
        <v>SITIO RFI</v>
      </c>
      <c r="F1629" s="19"/>
      <c r="G1629" s="19" t="str">
        <f>IFERROR(__xludf.DUMMYFUNCTION("""COMPUTED_VALUE"""),"x")</f>
        <v>x</v>
      </c>
      <c r="H1629" s="19" t="str">
        <f>IFERROR(__xludf.DUMMYFUNCTION("""COMPUTED_VALUE"""),"x")</f>
        <v>x</v>
      </c>
      <c r="I1629" s="19" t="str">
        <f>IFERROR(__xludf.DUMMYFUNCTION("""COMPUTED_VALUE"""),"x")</f>
        <v>x</v>
      </c>
      <c r="J1629" s="20" t="str">
        <f>IFERROR(__xludf.DUMMYFUNCTION("""COMPUTED_VALUE"""),"x")</f>
        <v>x</v>
      </c>
      <c r="K1629" s="19" t="str">
        <f>IFERROR(__xludf.DUMMYFUNCTION("""COMPUTED_VALUE"""),"x")</f>
        <v>x</v>
      </c>
      <c r="L1629" s="20" t="str">
        <f>IFERROR(__xludf.DUMMYFUNCTION("""COMPUTED_VALUE"""),"x")</f>
        <v>x</v>
      </c>
      <c r="M1629" s="19" t="str">
        <f>IFERROR(__xludf.DUMMYFUNCTION("""COMPUTED_VALUE"""),"PCM")</f>
        <v>PCM</v>
      </c>
      <c r="N1629" s="19" t="str">
        <f>IFERROR(__xludf.DUMMYFUNCTION("""COMPUTED_VALUE"""),"PRIORIDAD 1 Q3 2023 OCTUBRE")</f>
        <v>PRIORIDAD 1 Q3 2023 OCTUBRE</v>
      </c>
    </row>
    <row r="1630" ht="15.75" customHeight="1">
      <c r="A1630" s="19" t="str">
        <f>IFERROR(__xludf.DUMMYFUNCTION("""COMPUTED_VALUE"""),"AB_11313")</f>
        <v>AB_11313</v>
      </c>
      <c r="B1630" s="19" t="str">
        <f>IFERROR(__xludf.DUMMYFUNCTION("""COMPUTED_VALUE"""),"AB_11313_A")</f>
        <v>AB_11313_A</v>
      </c>
      <c r="C1630" s="19" t="str">
        <f>IFERROR(__xludf.DUMMYFUNCTION("""COMPUTED_VALUE"""),"RM11313")</f>
        <v>RM11313</v>
      </c>
      <c r="D1630" s="19" t="str">
        <f>IFERROR(__xludf.DUMMYFUNCTION("""COMPUTED_VALUE"""),"Macul Vespucio RU1")</f>
        <v>Macul Vespucio RU1</v>
      </c>
      <c r="E1630" s="19" t="str">
        <f>IFERROR(__xludf.DUMMYFUNCTION("""COMPUTED_VALUE"""),"SITIO RFI")</f>
        <v>SITIO RFI</v>
      </c>
      <c r="F1630" s="19"/>
      <c r="G1630" s="19" t="str">
        <f>IFERROR(__xludf.DUMMYFUNCTION("""COMPUTED_VALUE"""),"x")</f>
        <v>x</v>
      </c>
      <c r="H1630" s="19" t="str">
        <f>IFERROR(__xludf.DUMMYFUNCTION("""COMPUTED_VALUE"""),"x")</f>
        <v>x</v>
      </c>
      <c r="I1630" s="19" t="str">
        <f>IFERROR(__xludf.DUMMYFUNCTION("""COMPUTED_VALUE"""),"x")</f>
        <v>x</v>
      </c>
      <c r="J1630" s="20" t="str">
        <f>IFERROR(__xludf.DUMMYFUNCTION("""COMPUTED_VALUE"""),"x")</f>
        <v>x</v>
      </c>
      <c r="K1630" s="19" t="str">
        <f>IFERROR(__xludf.DUMMYFUNCTION("""COMPUTED_VALUE"""),"x")</f>
        <v>x</v>
      </c>
      <c r="L1630" s="20" t="str">
        <f>IFERROR(__xludf.DUMMYFUNCTION("""COMPUTED_VALUE"""),"x")</f>
        <v>x</v>
      </c>
      <c r="M1630" s="19" t="str">
        <f>IFERROR(__xludf.DUMMYFUNCTION("""COMPUTED_VALUE"""),"PCM_4")</f>
        <v>PCM_4</v>
      </c>
      <c r="N1630" s="19" t="str">
        <f>IFERROR(__xludf.DUMMYFUNCTION("""COMPUTED_VALUE"""),"PRIORIDAD 3 Q1 2024 MARZO")</f>
        <v>PRIORIDAD 3 Q1 2024 MARZO</v>
      </c>
    </row>
    <row r="1631" ht="15.75" customHeight="1">
      <c r="A1631" s="19" t="str">
        <f>IFERROR(__xludf.DUMMYFUNCTION("""COMPUTED_VALUE"""),"AB_11487")</f>
        <v>AB_11487</v>
      </c>
      <c r="B1631" s="19" t="str">
        <f>IFERROR(__xludf.DUMMYFUNCTION("""COMPUTED_VALUE"""),"AB_11487_A")</f>
        <v>AB_11487_A</v>
      </c>
      <c r="C1631" s="19" t="str">
        <f>IFERROR(__xludf.DUMMYFUNCTION("""COMPUTED_VALUE"""),"RM11487")</f>
        <v>RM11487</v>
      </c>
      <c r="D1631" s="19" t="str">
        <f>IFERROR(__xludf.DUMMYFUNCTION("""COMPUTED_VALUE"""),"Sta Elena Valdivieso RU")</f>
        <v>Sta Elena Valdivieso RU</v>
      </c>
      <c r="E1631" s="19" t="str">
        <f>IFERROR(__xludf.DUMMYFUNCTION("""COMPUTED_VALUE"""),"SITIO RFI")</f>
        <v>SITIO RFI</v>
      </c>
      <c r="F1631" s="19"/>
      <c r="G1631" s="19" t="str">
        <f>IFERROR(__xludf.DUMMYFUNCTION("""COMPUTED_VALUE"""),"x")</f>
        <v>x</v>
      </c>
      <c r="H1631" s="19" t="str">
        <f>IFERROR(__xludf.DUMMYFUNCTION("""COMPUTED_VALUE"""),"x")</f>
        <v>x</v>
      </c>
      <c r="I1631" s="19" t="str">
        <f>IFERROR(__xludf.DUMMYFUNCTION("""COMPUTED_VALUE"""),"x")</f>
        <v>x</v>
      </c>
      <c r="J1631" s="20" t="str">
        <f>IFERROR(__xludf.DUMMYFUNCTION("""COMPUTED_VALUE"""),"x")</f>
        <v>x</v>
      </c>
      <c r="K1631" s="19" t="str">
        <f>IFERROR(__xludf.DUMMYFUNCTION("""COMPUTED_VALUE"""),"x")</f>
        <v>x</v>
      </c>
      <c r="L1631" s="20" t="str">
        <f>IFERROR(__xludf.DUMMYFUNCTION("""COMPUTED_VALUE"""),"x")</f>
        <v>x</v>
      </c>
      <c r="M1631" s="19" t="str">
        <f>IFERROR(__xludf.DUMMYFUNCTION("""COMPUTED_VALUE"""),"PCM_4")</f>
        <v>PCM_4</v>
      </c>
      <c r="N1631" s="19" t="str">
        <f>IFERROR(__xludf.DUMMYFUNCTION("""COMPUTED_VALUE"""),"PRIORIDAD 3 Q1 2024 MARZO")</f>
        <v>PRIORIDAD 3 Q1 2024 MARZO</v>
      </c>
    </row>
    <row r="1632" ht="15.75" customHeight="1">
      <c r="A1632" s="19" t="str">
        <f>IFERROR(__xludf.DUMMYFUNCTION("""COMPUTED_VALUE"""),"AB_1385")</f>
        <v>AB_1385</v>
      </c>
      <c r="B1632" s="19" t="str">
        <f>IFERROR(__xludf.DUMMYFUNCTION("""COMPUTED_VALUE"""),"AB_1385_N")</f>
        <v>AB_1385_N</v>
      </c>
      <c r="C1632" s="19" t="str">
        <f>IFERROR(__xludf.DUMMYFUNCTION("""COMPUTED_VALUE"""),"RM1385")</f>
        <v>RM1385</v>
      </c>
      <c r="D1632" s="19" t="str">
        <f>IFERROR(__xludf.DUMMYFUNCTION("""COMPUTED_VALUE"""),"La Viña")</f>
        <v>La Viña</v>
      </c>
      <c r="E1632" s="19" t="str">
        <f>IFERROR(__xludf.DUMMYFUNCTION("""COMPUTED_VALUE"""),"SITIO RFI")</f>
        <v>SITIO RFI</v>
      </c>
      <c r="F1632" s="19"/>
      <c r="G1632" s="19" t="str">
        <f>IFERROR(__xludf.DUMMYFUNCTION("""COMPUTED_VALUE"""),"x")</f>
        <v>x</v>
      </c>
      <c r="H1632" s="19" t="str">
        <f>IFERROR(__xludf.DUMMYFUNCTION("""COMPUTED_VALUE"""),"x")</f>
        <v>x</v>
      </c>
      <c r="I1632" s="19" t="str">
        <f>IFERROR(__xludf.DUMMYFUNCTION("""COMPUTED_VALUE"""),"x")</f>
        <v>x</v>
      </c>
      <c r="J1632" s="20" t="str">
        <f>IFERROR(__xludf.DUMMYFUNCTION("""COMPUTED_VALUE"""),"x")</f>
        <v>x</v>
      </c>
      <c r="K1632" s="19" t="str">
        <f>IFERROR(__xludf.DUMMYFUNCTION("""COMPUTED_VALUE"""),"x")</f>
        <v>x</v>
      </c>
      <c r="L1632" s="20" t="str">
        <f>IFERROR(__xludf.DUMMYFUNCTION("""COMPUTED_VALUE"""),"x")</f>
        <v>x</v>
      </c>
      <c r="M1632" s="19" t="str">
        <f>IFERROR(__xludf.DUMMYFUNCTION("""COMPUTED_VALUE"""),"PCM")</f>
        <v>PCM</v>
      </c>
      <c r="N1632" s="19" t="str">
        <f>IFERROR(__xludf.DUMMYFUNCTION("""COMPUTED_VALUE"""),"PRIORIDAD 1 Q3 2023 OCTUBRE")</f>
        <v>PRIORIDAD 1 Q3 2023 OCTUBRE</v>
      </c>
    </row>
    <row r="1633" ht="15.75" customHeight="1">
      <c r="A1633" s="19" t="str">
        <f>IFERROR(__xludf.DUMMYFUNCTION("""COMPUTED_VALUE"""),"AB_1565")</f>
        <v>AB_1565</v>
      </c>
      <c r="B1633" s="19" t="str">
        <f>IFERROR(__xludf.DUMMYFUNCTION("""COMPUTED_VALUE"""),"AB_1565_P")</f>
        <v>AB_1565_P</v>
      </c>
      <c r="C1633" s="19" t="str">
        <f>IFERROR(__xludf.DUMMYFUNCTION("""COMPUTED_VALUE"""),"RM1565")</f>
        <v>RM1565</v>
      </c>
      <c r="D1633" s="19" t="str">
        <f>IFERROR(__xludf.DUMMYFUNCTION("""COMPUTED_VALUE"""),"Club de Tenis El Alba")</f>
        <v>Club de Tenis El Alba</v>
      </c>
      <c r="E1633" s="19" t="str">
        <f>IFERROR(__xludf.DUMMYFUNCTION("""COMPUTED_VALUE"""),"SITIO FIRMADO")</f>
        <v>SITIO FIRMADO</v>
      </c>
      <c r="F1633" s="19"/>
      <c r="G1633" s="19" t="str">
        <f>IFERROR(__xludf.DUMMYFUNCTION("""COMPUTED_VALUE"""),"x")</f>
        <v>x</v>
      </c>
      <c r="H1633" s="19" t="str">
        <f>IFERROR(__xludf.DUMMYFUNCTION("""COMPUTED_VALUE"""),"x")</f>
        <v>x</v>
      </c>
      <c r="I1633" s="19" t="str">
        <f>IFERROR(__xludf.DUMMYFUNCTION("""COMPUTED_VALUE"""),"x")</f>
        <v>x</v>
      </c>
      <c r="J1633" s="20" t="str">
        <f>IFERROR(__xludf.DUMMYFUNCTION("""COMPUTED_VALUE"""),"x")</f>
        <v>x</v>
      </c>
      <c r="K1633" s="19" t="str">
        <f>IFERROR(__xludf.DUMMYFUNCTION("""COMPUTED_VALUE"""),"x")</f>
        <v>x</v>
      </c>
      <c r="L1633" s="20" t="str">
        <f>IFERROR(__xludf.DUMMYFUNCTION("""COMPUTED_VALUE"""),"x")</f>
        <v>x</v>
      </c>
      <c r="M1633" s="19" t="str">
        <f>IFERROR(__xludf.DUMMYFUNCTION("""COMPUTED_VALUE"""),"PCM_2")</f>
        <v>PCM_2</v>
      </c>
      <c r="N1633" s="19" t="str">
        <f>IFERROR(__xludf.DUMMYFUNCTION("""COMPUTED_VALUE"""),"PRIORIDAD 1 Q3 2023 OCTUBRE")</f>
        <v>PRIORIDAD 1 Q3 2023 OCTUBRE</v>
      </c>
    </row>
    <row r="1634" ht="15.75" customHeight="1">
      <c r="A1634" s="19" t="str">
        <f>IFERROR(__xludf.DUMMYFUNCTION("""COMPUTED_VALUE"""),"AB_1760")</f>
        <v>AB_1760</v>
      </c>
      <c r="B1634" s="19" t="str">
        <f>IFERROR(__xludf.DUMMYFUNCTION("""COMPUTED_VALUE"""),"AB_1760_E")</f>
        <v>AB_1760_E</v>
      </c>
      <c r="C1634" s="19" t="str">
        <f>IFERROR(__xludf.DUMMYFUNCTION("""COMPUTED_VALUE"""),"RM1760")</f>
        <v>RM1760</v>
      </c>
      <c r="D1634" s="19" t="str">
        <f>IFERROR(__xludf.DUMMYFUNCTION("""COMPUTED_VALUE"""),"Cementerio Parque El Prado")</f>
        <v>Cementerio Parque El Prado</v>
      </c>
      <c r="E1634" s="19" t="str">
        <f>IFERROR(__xludf.DUMMYFUNCTION("""COMPUTED_VALUE"""),"SITIO RFI")</f>
        <v>SITIO RFI</v>
      </c>
      <c r="F1634" s="19"/>
      <c r="G1634" s="19" t="str">
        <f>IFERROR(__xludf.DUMMYFUNCTION("""COMPUTED_VALUE"""),"x")</f>
        <v>x</v>
      </c>
      <c r="H1634" s="19" t="str">
        <f>IFERROR(__xludf.DUMMYFUNCTION("""COMPUTED_VALUE"""),"x")</f>
        <v>x</v>
      </c>
      <c r="I1634" s="19" t="str">
        <f>IFERROR(__xludf.DUMMYFUNCTION("""COMPUTED_VALUE"""),"x")</f>
        <v>x</v>
      </c>
      <c r="J1634" s="20" t="str">
        <f>IFERROR(__xludf.DUMMYFUNCTION("""COMPUTED_VALUE"""),"x")</f>
        <v>x</v>
      </c>
      <c r="K1634" s="19" t="str">
        <f>IFERROR(__xludf.DUMMYFUNCTION("""COMPUTED_VALUE"""),"x")</f>
        <v>x</v>
      </c>
      <c r="L1634" s="20" t="str">
        <f>IFERROR(__xludf.DUMMYFUNCTION("""COMPUTED_VALUE"""),"x")</f>
        <v>x</v>
      </c>
      <c r="M1634" s="19" t="str">
        <f>IFERROR(__xludf.DUMMYFUNCTION("""COMPUTED_VALUE"""),"PCM")</f>
        <v>PCM</v>
      </c>
      <c r="N1634" s="19" t="str">
        <f>IFERROR(__xludf.DUMMYFUNCTION("""COMPUTED_VALUE"""),"PRIORIDAD 1 Q3 2023 OCTUBRE")</f>
        <v>PRIORIDAD 1 Q3 2023 OCTUBRE</v>
      </c>
    </row>
    <row r="1635" ht="15.75" customHeight="1">
      <c r="A1635" s="19" t="str">
        <f>IFERROR(__xludf.DUMMYFUNCTION("""COMPUTED_VALUE"""),"AB_1987")</f>
        <v>AB_1987</v>
      </c>
      <c r="B1635" s="19" t="str">
        <f>IFERROR(__xludf.DUMMYFUNCTION("""COMPUTED_VALUE"""),"AB_1987_B")</f>
        <v>AB_1987_B</v>
      </c>
      <c r="C1635" s="19" t="str">
        <f>IFERROR(__xludf.DUMMYFUNCTION("""COMPUTED_VALUE"""),"RM1987")</f>
        <v>RM1987</v>
      </c>
      <c r="D1635" s="19" t="str">
        <f>IFERROR(__xludf.DUMMYFUNCTION("""COMPUTED_VALUE"""),"Parque Antonio Rabat")</f>
        <v>Parque Antonio Rabat</v>
      </c>
      <c r="E1635" s="19" t="str">
        <f>IFERROR(__xludf.DUMMYFUNCTION("""COMPUTED_VALUE"""),"SITIO RFI")</f>
        <v>SITIO RFI</v>
      </c>
      <c r="F1635" s="19"/>
      <c r="G1635" s="19" t="str">
        <f>IFERROR(__xludf.DUMMYFUNCTION("""COMPUTED_VALUE"""),"x")</f>
        <v>x</v>
      </c>
      <c r="H1635" s="19" t="str">
        <f>IFERROR(__xludf.DUMMYFUNCTION("""COMPUTED_VALUE"""),"x")</f>
        <v>x</v>
      </c>
      <c r="I1635" s="19" t="str">
        <f>IFERROR(__xludf.DUMMYFUNCTION("""COMPUTED_VALUE"""),"x")</f>
        <v>x</v>
      </c>
      <c r="J1635" s="20" t="str">
        <f>IFERROR(__xludf.DUMMYFUNCTION("""COMPUTED_VALUE"""),"x")</f>
        <v>x</v>
      </c>
      <c r="K1635" s="19" t="str">
        <f>IFERROR(__xludf.DUMMYFUNCTION("""COMPUTED_VALUE"""),"x")</f>
        <v>x</v>
      </c>
      <c r="L1635" s="20" t="str">
        <f>IFERROR(__xludf.DUMMYFUNCTION("""COMPUTED_VALUE"""),"x")</f>
        <v>x</v>
      </c>
      <c r="M1635" s="19" t="str">
        <f>IFERROR(__xludf.DUMMYFUNCTION("""COMPUTED_VALUE"""),"PCM")</f>
        <v>PCM</v>
      </c>
      <c r="N1635" s="19" t="str">
        <f>IFERROR(__xludf.DUMMYFUNCTION("""COMPUTED_VALUE"""),"PRIORIDAD 1 Q3 2023 OCTUBRE")</f>
        <v>PRIORIDAD 1 Q3 2023 OCTUBRE</v>
      </c>
    </row>
    <row r="1636" ht="15.75" customHeight="1">
      <c r="A1636" s="19" t="str">
        <f>IFERROR(__xludf.DUMMYFUNCTION("""COMPUTED_VALUE"""),"AB_2945")</f>
        <v>AB_2945</v>
      </c>
      <c r="B1636" s="19" t="str">
        <f>IFERROR(__xludf.DUMMYFUNCTION("""COMPUTED_VALUE"""),"AB_2945_V")</f>
        <v>AB_2945_V</v>
      </c>
      <c r="C1636" s="19" t="str">
        <f>IFERROR(__xludf.DUMMYFUNCTION("""COMPUTED_VALUE"""),"RM2945")</f>
        <v>RM2945</v>
      </c>
      <c r="D1636" s="19" t="str">
        <f>IFERROR(__xludf.DUMMYFUNCTION("""COMPUTED_VALUE"""),"Dunkerque")</f>
        <v>Dunkerque</v>
      </c>
      <c r="E1636" s="19" t="str">
        <f>IFERROR(__xludf.DUMMYFUNCTION("""COMPUTED_VALUE"""),"SITIO RFI")</f>
        <v>SITIO RFI</v>
      </c>
      <c r="F1636" s="19"/>
      <c r="G1636" s="19" t="str">
        <f>IFERROR(__xludf.DUMMYFUNCTION("""COMPUTED_VALUE"""),"x")</f>
        <v>x</v>
      </c>
      <c r="H1636" s="19" t="str">
        <f>IFERROR(__xludf.DUMMYFUNCTION("""COMPUTED_VALUE"""),"x")</f>
        <v>x</v>
      </c>
      <c r="I1636" s="19" t="str">
        <f>IFERROR(__xludf.DUMMYFUNCTION("""COMPUTED_VALUE"""),"x")</f>
        <v>x</v>
      </c>
      <c r="J1636" s="20" t="str">
        <f>IFERROR(__xludf.DUMMYFUNCTION("""COMPUTED_VALUE"""),"x")</f>
        <v>x</v>
      </c>
      <c r="K1636" s="19" t="str">
        <f>IFERROR(__xludf.DUMMYFUNCTION("""COMPUTED_VALUE"""),"x")</f>
        <v>x</v>
      </c>
      <c r="L1636" s="20" t="str">
        <f>IFERROR(__xludf.DUMMYFUNCTION("""COMPUTED_VALUE"""),"x")</f>
        <v>x</v>
      </c>
      <c r="M1636" s="19" t="str">
        <f>IFERROR(__xludf.DUMMYFUNCTION("""COMPUTED_VALUE"""),"PCM")</f>
        <v>PCM</v>
      </c>
      <c r="N1636" s="19" t="str">
        <f>IFERROR(__xludf.DUMMYFUNCTION("""COMPUTED_VALUE"""),"PRIORIDAD 1 Q3 2023 OCTUBRE")</f>
        <v>PRIORIDAD 1 Q3 2023 OCTUBRE</v>
      </c>
    </row>
    <row r="1637" ht="15.75" customHeight="1">
      <c r="A1637" s="19" t="str">
        <f>IFERROR(__xludf.DUMMYFUNCTION("""COMPUTED_VALUE"""),"AB_3473")</f>
        <v>AB_3473</v>
      </c>
      <c r="B1637" s="19" t="str">
        <f>IFERROR(__xludf.DUMMYFUNCTION("""COMPUTED_VALUE"""),"AB_3473_D")</f>
        <v>AB_3473_D</v>
      </c>
      <c r="C1637" s="19" t="str">
        <f>IFERROR(__xludf.DUMMYFUNCTION("""COMPUTED_VALUE"""),"RM3473")</f>
        <v>RM3473</v>
      </c>
      <c r="D1637" s="19" t="str">
        <f>IFERROR(__xludf.DUMMYFUNCTION("""COMPUTED_VALUE"""),"Rio Cholguaco La Florida")</f>
        <v>Rio Cholguaco La Florida</v>
      </c>
      <c r="E1637" s="19" t="str">
        <f>IFERROR(__xludf.DUMMYFUNCTION("""COMPUTED_VALUE"""),"SITIO RFI")</f>
        <v>SITIO RFI</v>
      </c>
      <c r="F1637" s="19"/>
      <c r="G1637" s="19" t="str">
        <f>IFERROR(__xludf.DUMMYFUNCTION("""COMPUTED_VALUE"""),"x")</f>
        <v>x</v>
      </c>
      <c r="H1637" s="19" t="str">
        <f>IFERROR(__xludf.DUMMYFUNCTION("""COMPUTED_VALUE"""),"x")</f>
        <v>x</v>
      </c>
      <c r="I1637" s="19" t="str">
        <f>IFERROR(__xludf.DUMMYFUNCTION("""COMPUTED_VALUE"""),"x")</f>
        <v>x</v>
      </c>
      <c r="J1637" s="20" t="str">
        <f>IFERROR(__xludf.DUMMYFUNCTION("""COMPUTED_VALUE"""),"x")</f>
        <v>x</v>
      </c>
      <c r="K1637" s="19" t="str">
        <f>IFERROR(__xludf.DUMMYFUNCTION("""COMPUTED_VALUE"""),"x")</f>
        <v>x</v>
      </c>
      <c r="L1637" s="20" t="str">
        <f>IFERROR(__xludf.DUMMYFUNCTION("""COMPUTED_VALUE"""),"x")</f>
        <v>x</v>
      </c>
      <c r="M1637" s="19" t="str">
        <f>IFERROR(__xludf.DUMMYFUNCTION("""COMPUTED_VALUE"""),"PCM")</f>
        <v>PCM</v>
      </c>
      <c r="N1637" s="19" t="str">
        <f>IFERROR(__xludf.DUMMYFUNCTION("""COMPUTED_VALUE"""),"PRIORIDAD 1 Q3 2023 OCTUBRE")</f>
        <v>PRIORIDAD 1 Q3 2023 OCTUBRE</v>
      </c>
    </row>
    <row r="1638" ht="15.75" customHeight="1">
      <c r="A1638" s="19" t="str">
        <f>IFERROR(__xludf.DUMMYFUNCTION("""COMPUTED_VALUE"""),"AB_3991")</f>
        <v>AB_3991</v>
      </c>
      <c r="B1638" s="19" t="str">
        <f>IFERROR(__xludf.DUMMYFUNCTION("""COMPUTED_VALUE"""),"AB_3991_C")</f>
        <v>AB_3991_C</v>
      </c>
      <c r="C1638" s="19" t="str">
        <f>IFERROR(__xludf.DUMMYFUNCTION("""COMPUTED_VALUE"""),"RM3991")</f>
        <v>RM3991</v>
      </c>
      <c r="D1638" s="19" t="str">
        <f>IFERROR(__xludf.DUMMYFUNCTION("""COMPUTED_VALUE"""),"Dr Victor Manuel Aviles")</f>
        <v>Dr Victor Manuel Aviles</v>
      </c>
      <c r="E1638" s="19" t="str">
        <f>IFERROR(__xludf.DUMMYFUNCTION("""COMPUTED_VALUE"""),"SITIO RFI")</f>
        <v>SITIO RFI</v>
      </c>
      <c r="F1638" s="19"/>
      <c r="G1638" s="19" t="str">
        <f>IFERROR(__xludf.DUMMYFUNCTION("""COMPUTED_VALUE"""),"x")</f>
        <v>x</v>
      </c>
      <c r="H1638" s="19" t="str">
        <f>IFERROR(__xludf.DUMMYFUNCTION("""COMPUTED_VALUE"""),"x")</f>
        <v>x</v>
      </c>
      <c r="I1638" s="19" t="str">
        <f>IFERROR(__xludf.DUMMYFUNCTION("""COMPUTED_VALUE"""),"x")</f>
        <v>x</v>
      </c>
      <c r="J1638" s="20" t="str">
        <f>IFERROR(__xludf.DUMMYFUNCTION("""COMPUTED_VALUE"""),"x")</f>
        <v>x</v>
      </c>
      <c r="K1638" s="19" t="str">
        <f>IFERROR(__xludf.DUMMYFUNCTION("""COMPUTED_VALUE"""),"x")</f>
        <v>x</v>
      </c>
      <c r="L1638" s="20" t="str">
        <f>IFERROR(__xludf.DUMMYFUNCTION("""COMPUTED_VALUE"""),"x")</f>
        <v>x</v>
      </c>
      <c r="M1638" s="19" t="str">
        <f>IFERROR(__xludf.DUMMYFUNCTION("""COMPUTED_VALUE"""),"PCM")</f>
        <v>PCM</v>
      </c>
      <c r="N1638" s="19" t="str">
        <f>IFERROR(__xludf.DUMMYFUNCTION("""COMPUTED_VALUE"""),"PRIORIDAD 1 Q3 2023 OCTUBRE")</f>
        <v>PRIORIDAD 1 Q3 2023 OCTUBRE</v>
      </c>
    </row>
    <row r="1639" ht="15.75" customHeight="1">
      <c r="A1639" s="19" t="str">
        <f>IFERROR(__xludf.DUMMYFUNCTION("""COMPUTED_VALUE"""),"AB_4644")</f>
        <v>AB_4644</v>
      </c>
      <c r="B1639" s="19" t="str">
        <f>IFERROR(__xludf.DUMMYFUNCTION("""COMPUTED_VALUE"""),"AB_4644_B")</f>
        <v>AB_4644_B</v>
      </c>
      <c r="C1639" s="19" t="str">
        <f>IFERROR(__xludf.DUMMYFUNCTION("""COMPUTED_VALUE"""),"RM4644")</f>
        <v>RM4644</v>
      </c>
      <c r="D1639" s="19" t="str">
        <f>IFERROR(__xludf.DUMMYFUNCTION("""COMPUTED_VALUE"""),"Los Bravos")</f>
        <v>Los Bravos</v>
      </c>
      <c r="E1639" s="19" t="str">
        <f>IFERROR(__xludf.DUMMYFUNCTION("""COMPUTED_VALUE"""),"SITIO RFI")</f>
        <v>SITIO RFI</v>
      </c>
      <c r="F1639" s="19"/>
      <c r="G1639" s="19" t="str">
        <f>IFERROR(__xludf.DUMMYFUNCTION("""COMPUTED_VALUE"""),"x")</f>
        <v>x</v>
      </c>
      <c r="H1639" s="19" t="str">
        <f>IFERROR(__xludf.DUMMYFUNCTION("""COMPUTED_VALUE"""),"x")</f>
        <v>x</v>
      </c>
      <c r="I1639" s="19" t="str">
        <f>IFERROR(__xludf.DUMMYFUNCTION("""COMPUTED_VALUE"""),"x")</f>
        <v>x</v>
      </c>
      <c r="J1639" s="20" t="str">
        <f>IFERROR(__xludf.DUMMYFUNCTION("""COMPUTED_VALUE"""),"x")</f>
        <v>x</v>
      </c>
      <c r="K1639" s="19" t="str">
        <f>IFERROR(__xludf.DUMMYFUNCTION("""COMPUTED_VALUE"""),"x")</f>
        <v>x</v>
      </c>
      <c r="L1639" s="20" t="str">
        <f>IFERROR(__xludf.DUMMYFUNCTION("""COMPUTED_VALUE"""),"x")</f>
        <v>x</v>
      </c>
      <c r="M1639" s="19" t="str">
        <f>IFERROR(__xludf.DUMMYFUNCTION("""COMPUTED_VALUE"""),"PCM")</f>
        <v>PCM</v>
      </c>
      <c r="N1639" s="19" t="str">
        <f>IFERROR(__xludf.DUMMYFUNCTION("""COMPUTED_VALUE"""),"PRIORIDAD 1 Q3 2023 OCTUBRE")</f>
        <v>PRIORIDAD 1 Q3 2023 OCTUBRE</v>
      </c>
    </row>
    <row r="1640" ht="15.75" customHeight="1">
      <c r="A1640" s="19" t="str">
        <f>IFERROR(__xludf.DUMMYFUNCTION("""COMPUTED_VALUE"""),"AB_5218")</f>
        <v>AB_5218</v>
      </c>
      <c r="B1640" s="19" t="str">
        <f>IFERROR(__xludf.DUMMYFUNCTION("""COMPUTED_VALUE"""),"AB_5218_A")</f>
        <v>AB_5218_A</v>
      </c>
      <c r="C1640" s="19" t="str">
        <f>IFERROR(__xludf.DUMMYFUNCTION("""COMPUTED_VALUE"""),"RM5218")</f>
        <v>RM5218</v>
      </c>
      <c r="D1640" s="19" t="str">
        <f>IFERROR(__xludf.DUMMYFUNCTION("""COMPUTED_VALUE"""),"Portezuelo del Cepo")</f>
        <v>Portezuelo del Cepo</v>
      </c>
      <c r="E1640" s="19" t="str">
        <f>IFERROR(__xludf.DUMMYFUNCTION("""COMPUTED_VALUE"""),"SITIO RFI")</f>
        <v>SITIO RFI</v>
      </c>
      <c r="F1640" s="19"/>
      <c r="G1640" s="19" t="str">
        <f>IFERROR(__xludf.DUMMYFUNCTION("""COMPUTED_VALUE"""),"x")</f>
        <v>x</v>
      </c>
      <c r="H1640" s="19" t="str">
        <f>IFERROR(__xludf.DUMMYFUNCTION("""COMPUTED_VALUE"""),"x")</f>
        <v>x</v>
      </c>
      <c r="I1640" s="19" t="str">
        <f>IFERROR(__xludf.DUMMYFUNCTION("""COMPUTED_VALUE"""),"x")</f>
        <v>x</v>
      </c>
      <c r="J1640" s="20" t="str">
        <f>IFERROR(__xludf.DUMMYFUNCTION("""COMPUTED_VALUE"""),"x")</f>
        <v>x</v>
      </c>
      <c r="K1640" s="19" t="str">
        <f>IFERROR(__xludf.DUMMYFUNCTION("""COMPUTED_VALUE"""),"x")</f>
        <v>x</v>
      </c>
      <c r="L1640" s="20" t="str">
        <f>IFERROR(__xludf.DUMMYFUNCTION("""COMPUTED_VALUE"""),"x")</f>
        <v>x</v>
      </c>
      <c r="M1640" s="19" t="str">
        <f>IFERROR(__xludf.DUMMYFUNCTION("""COMPUTED_VALUE"""),"PCM")</f>
        <v>PCM</v>
      </c>
      <c r="N1640" s="19" t="str">
        <f>IFERROR(__xludf.DUMMYFUNCTION("""COMPUTED_VALUE"""),"PRIORIDAD 1 Q3 2023 OCTUBRE")</f>
        <v>PRIORIDAD 1 Q3 2023 OCTUBRE</v>
      </c>
    </row>
    <row r="1641" ht="15.75" customHeight="1">
      <c r="A1641" s="19" t="str">
        <f>IFERROR(__xludf.DUMMYFUNCTION("""COMPUTED_VALUE"""),"AB_5226")</f>
        <v>AB_5226</v>
      </c>
      <c r="B1641" s="19" t="str">
        <f>IFERROR(__xludf.DUMMYFUNCTION("""COMPUTED_VALUE"""),"AB_5226_F")</f>
        <v>AB_5226_F</v>
      </c>
      <c r="C1641" s="19" t="str">
        <f>IFERROR(__xludf.DUMMYFUNCTION("""COMPUTED_VALUE"""),"RM5226")</f>
        <v>RM5226</v>
      </c>
      <c r="D1641" s="19" t="str">
        <f>IFERROR(__xludf.DUMMYFUNCTION("""COMPUTED_VALUE"""),"Lo Martinez RU")</f>
        <v>Lo Martinez RU</v>
      </c>
      <c r="E1641" s="19" t="str">
        <f>IFERROR(__xludf.DUMMYFUNCTION("""COMPUTED_VALUE"""),"SITIO PENDIENTE")</f>
        <v>SITIO PENDIENTE</v>
      </c>
      <c r="F1641" s="19"/>
      <c r="G1641" s="19" t="str">
        <f>IFERROR(__xludf.DUMMYFUNCTION("""COMPUTED_VALUE"""),"x")</f>
        <v>x</v>
      </c>
      <c r="H1641" s="19" t="str">
        <f>IFERROR(__xludf.DUMMYFUNCTION("""COMPUTED_VALUE"""),"x")</f>
        <v>x</v>
      </c>
      <c r="I1641" s="19" t="str">
        <f>IFERROR(__xludf.DUMMYFUNCTION("""COMPUTED_VALUE"""),"x")</f>
        <v>x</v>
      </c>
      <c r="J1641" s="20" t="str">
        <f>IFERROR(__xludf.DUMMYFUNCTION("""COMPUTED_VALUE"""),"x")</f>
        <v>x</v>
      </c>
      <c r="K1641" s="19" t="str">
        <f>IFERROR(__xludf.DUMMYFUNCTION("""COMPUTED_VALUE"""),"x")</f>
        <v>x</v>
      </c>
      <c r="L1641" s="20" t="str">
        <f>IFERROR(__xludf.DUMMYFUNCTION("""COMPUTED_VALUE"""),"x")</f>
        <v>x</v>
      </c>
      <c r="M1641" s="19" t="str">
        <f>IFERROR(__xludf.DUMMYFUNCTION("""COMPUTED_VALUE"""),"PCM")</f>
        <v>PCM</v>
      </c>
      <c r="N1641" s="19" t="str">
        <f>IFERROR(__xludf.DUMMYFUNCTION("""COMPUTED_VALUE"""),"PRIORIDAD 3 Q1 2024 MARZO")</f>
        <v>PRIORIDAD 3 Q1 2024 MARZO</v>
      </c>
    </row>
    <row r="1642" ht="15.75" customHeight="1">
      <c r="A1642" s="19" t="str">
        <f>IFERROR(__xludf.DUMMYFUNCTION("""COMPUTED_VALUE"""),"AB_5230")</f>
        <v>AB_5230</v>
      </c>
      <c r="B1642" s="19" t="str">
        <f>IFERROR(__xludf.DUMMYFUNCTION("""COMPUTED_VALUE"""),"AB_5230_E")</f>
        <v>AB_5230_E</v>
      </c>
      <c r="C1642" s="19" t="str">
        <f>IFERROR(__xludf.DUMMYFUNCTION("""COMPUTED_VALUE"""),"RM5230")</f>
        <v>RM5230</v>
      </c>
      <c r="D1642" s="19" t="str">
        <f>IFERROR(__xludf.DUMMYFUNCTION("""COMPUTED_VALUE"""),"El Mariscal RU")</f>
        <v>El Mariscal RU</v>
      </c>
      <c r="E1642" s="19" t="str">
        <f>IFERROR(__xludf.DUMMYFUNCTION("""COMPUTED_VALUE"""),"SITIO RFI")</f>
        <v>SITIO RFI</v>
      </c>
      <c r="F1642" s="19"/>
      <c r="G1642" s="19" t="str">
        <f>IFERROR(__xludf.DUMMYFUNCTION("""COMPUTED_VALUE"""),"x")</f>
        <v>x</v>
      </c>
      <c r="H1642" s="19" t="str">
        <f>IFERROR(__xludf.DUMMYFUNCTION("""COMPUTED_VALUE"""),"x")</f>
        <v>x</v>
      </c>
      <c r="I1642" s="19" t="str">
        <f>IFERROR(__xludf.DUMMYFUNCTION("""COMPUTED_VALUE"""),"x")</f>
        <v>x</v>
      </c>
      <c r="J1642" s="20" t="str">
        <f>IFERROR(__xludf.DUMMYFUNCTION("""COMPUTED_VALUE"""),"x")</f>
        <v>x</v>
      </c>
      <c r="K1642" s="19" t="str">
        <f>IFERROR(__xludf.DUMMYFUNCTION("""COMPUTED_VALUE"""),"x")</f>
        <v>x</v>
      </c>
      <c r="L1642" s="20" t="str">
        <f>IFERROR(__xludf.DUMMYFUNCTION("""COMPUTED_VALUE"""),"x")</f>
        <v>x</v>
      </c>
      <c r="M1642" s="19" t="str">
        <f>IFERROR(__xludf.DUMMYFUNCTION("""COMPUTED_VALUE"""),"PCM")</f>
        <v>PCM</v>
      </c>
      <c r="N1642" s="19" t="str">
        <f>IFERROR(__xludf.DUMMYFUNCTION("""COMPUTED_VALUE"""),"PRIORIDAD 1 Q3 2023 OCTUBRE")</f>
        <v>PRIORIDAD 1 Q3 2023 OCTUBRE</v>
      </c>
    </row>
    <row r="1643" ht="15.75" customHeight="1">
      <c r="A1643" s="19" t="str">
        <f>IFERROR(__xludf.DUMMYFUNCTION("""COMPUTED_VALUE"""),"AB_5368")</f>
        <v>AB_5368</v>
      </c>
      <c r="B1643" s="19" t="str">
        <f>IFERROR(__xludf.DUMMYFUNCTION("""COMPUTED_VALUE"""),"AB_5368_B")</f>
        <v>AB_5368_B</v>
      </c>
      <c r="C1643" s="19" t="str">
        <f>IFERROR(__xludf.DUMMYFUNCTION("""COMPUTED_VALUE"""),"RM5368")</f>
        <v>RM5368</v>
      </c>
      <c r="D1643" s="19" t="str">
        <f>IFERROR(__xludf.DUMMYFUNCTION("""COMPUTED_VALUE"""),"RU Merida Quilicura")</f>
        <v>RU Merida Quilicura</v>
      </c>
      <c r="E1643" s="19" t="str">
        <f>IFERROR(__xludf.DUMMYFUNCTION("""COMPUTED_VALUE"""),"SITIO RFI")</f>
        <v>SITIO RFI</v>
      </c>
      <c r="F1643" s="19"/>
      <c r="G1643" s="19" t="str">
        <f>IFERROR(__xludf.DUMMYFUNCTION("""COMPUTED_VALUE"""),"x")</f>
        <v>x</v>
      </c>
      <c r="H1643" s="19" t="str">
        <f>IFERROR(__xludf.DUMMYFUNCTION("""COMPUTED_VALUE"""),"x")</f>
        <v>x</v>
      </c>
      <c r="I1643" s="19" t="str">
        <f>IFERROR(__xludf.DUMMYFUNCTION("""COMPUTED_VALUE"""),"x")</f>
        <v>x</v>
      </c>
      <c r="J1643" s="20" t="str">
        <f>IFERROR(__xludf.DUMMYFUNCTION("""COMPUTED_VALUE"""),"x")</f>
        <v>x</v>
      </c>
      <c r="K1643" s="19" t="str">
        <f>IFERROR(__xludf.DUMMYFUNCTION("""COMPUTED_VALUE"""),"x")</f>
        <v>x</v>
      </c>
      <c r="L1643" s="20" t="str">
        <f>IFERROR(__xludf.DUMMYFUNCTION("""COMPUTED_VALUE"""),"x")</f>
        <v>x</v>
      </c>
      <c r="M1643" s="19" t="str">
        <f>IFERROR(__xludf.DUMMYFUNCTION("""COMPUTED_VALUE"""),"PCM")</f>
        <v>PCM</v>
      </c>
      <c r="N1643" s="19" t="str">
        <f>IFERROR(__xludf.DUMMYFUNCTION("""COMPUTED_VALUE"""),"PRIORIDAD 1 Q3 2023 OCTUBRE")</f>
        <v>PRIORIDAD 1 Q3 2023 OCTUBRE</v>
      </c>
    </row>
    <row r="1644" ht="15.75" customHeight="1">
      <c r="A1644" s="19" t="str">
        <f>IFERROR(__xludf.DUMMYFUNCTION("""COMPUTED_VALUE"""),"AB_5376")</f>
        <v>AB_5376</v>
      </c>
      <c r="B1644" s="19" t="str">
        <f>IFERROR(__xludf.DUMMYFUNCTION("""COMPUTED_VALUE"""),"AB_5376_A")</f>
        <v>AB_5376_A</v>
      </c>
      <c r="C1644" s="19" t="str">
        <f>IFERROR(__xludf.DUMMYFUNCTION("""COMPUTED_VALUE"""),"RM5376")</f>
        <v>RM5376</v>
      </c>
      <c r="D1644" s="19" t="str">
        <f>IFERROR(__xludf.DUMMYFUNCTION("""COMPUTED_VALUE"""),"Carlos Cariola - Salomon")</f>
        <v>Carlos Cariola - Salomon</v>
      </c>
      <c r="E1644" s="19" t="str">
        <f>IFERROR(__xludf.DUMMYFUNCTION("""COMPUTED_VALUE"""),"SITIO RFI")</f>
        <v>SITIO RFI</v>
      </c>
      <c r="F1644" s="19"/>
      <c r="G1644" s="19" t="str">
        <f>IFERROR(__xludf.DUMMYFUNCTION("""COMPUTED_VALUE"""),"x")</f>
        <v>x</v>
      </c>
      <c r="H1644" s="19" t="str">
        <f>IFERROR(__xludf.DUMMYFUNCTION("""COMPUTED_VALUE"""),"x")</f>
        <v>x</v>
      </c>
      <c r="I1644" s="19" t="str">
        <f>IFERROR(__xludf.DUMMYFUNCTION("""COMPUTED_VALUE"""),"x")</f>
        <v>x</v>
      </c>
      <c r="J1644" s="20" t="str">
        <f>IFERROR(__xludf.DUMMYFUNCTION("""COMPUTED_VALUE"""),"x")</f>
        <v>x</v>
      </c>
      <c r="K1644" s="19" t="str">
        <f>IFERROR(__xludf.DUMMYFUNCTION("""COMPUTED_VALUE"""),"x")</f>
        <v>x</v>
      </c>
      <c r="L1644" s="20" t="str">
        <f>IFERROR(__xludf.DUMMYFUNCTION("""COMPUTED_VALUE"""),"x")</f>
        <v>x</v>
      </c>
      <c r="M1644" s="19" t="str">
        <f>IFERROR(__xludf.DUMMYFUNCTION("""COMPUTED_VALUE"""),"PCM")</f>
        <v>PCM</v>
      </c>
      <c r="N1644" s="19" t="str">
        <f>IFERROR(__xludf.DUMMYFUNCTION("""COMPUTED_VALUE"""),"PRIORIDAD 1 Q3 2023 OCTUBRE")</f>
        <v>PRIORIDAD 1 Q3 2023 OCTUBRE</v>
      </c>
    </row>
    <row r="1645" ht="15.75" customHeight="1">
      <c r="A1645" s="19" t="str">
        <f>IFERROR(__xludf.DUMMYFUNCTION("""COMPUTED_VALUE"""),"AB_5641")</f>
        <v>AB_5641</v>
      </c>
      <c r="B1645" s="19" t="str">
        <f>IFERROR(__xludf.DUMMYFUNCTION("""COMPUTED_VALUE"""),"AB_5641_B")</f>
        <v>AB_5641_B</v>
      </c>
      <c r="C1645" s="19" t="str">
        <f>IFERROR(__xludf.DUMMYFUNCTION("""COMPUTED_VALUE"""),"RM5641")</f>
        <v>RM5641</v>
      </c>
      <c r="D1645" s="19" t="str">
        <f>IFERROR(__xludf.DUMMYFUNCTION("""COMPUTED_VALUE"""),"Universidad Adolfo Ibañez 1")</f>
        <v>Universidad Adolfo Ibañez 1</v>
      </c>
      <c r="E1645" s="19" t="str">
        <f>IFERROR(__xludf.DUMMYFUNCTION("""COMPUTED_VALUE"""),"SITIO RFI")</f>
        <v>SITIO RFI</v>
      </c>
      <c r="F1645" s="19"/>
      <c r="G1645" s="19" t="str">
        <f>IFERROR(__xludf.DUMMYFUNCTION("""COMPUTED_VALUE"""),"x")</f>
        <v>x</v>
      </c>
      <c r="H1645" s="19" t="str">
        <f>IFERROR(__xludf.DUMMYFUNCTION("""COMPUTED_VALUE"""),"x")</f>
        <v>x</v>
      </c>
      <c r="I1645" s="19" t="str">
        <f>IFERROR(__xludf.DUMMYFUNCTION("""COMPUTED_VALUE"""),"x")</f>
        <v>x</v>
      </c>
      <c r="J1645" s="20" t="str">
        <f>IFERROR(__xludf.DUMMYFUNCTION("""COMPUTED_VALUE"""),"x")</f>
        <v>x</v>
      </c>
      <c r="K1645" s="19" t="str">
        <f>IFERROR(__xludf.DUMMYFUNCTION("""COMPUTED_VALUE"""),"x")</f>
        <v>x</v>
      </c>
      <c r="L1645" s="20" t="str">
        <f>IFERROR(__xludf.DUMMYFUNCTION("""COMPUTED_VALUE"""),"x")</f>
        <v>x</v>
      </c>
      <c r="M1645" s="19" t="str">
        <f>IFERROR(__xludf.DUMMYFUNCTION("""COMPUTED_VALUE"""),"PCM")</f>
        <v>PCM</v>
      </c>
      <c r="N1645" s="19" t="str">
        <f>IFERROR(__xludf.DUMMYFUNCTION("""COMPUTED_VALUE"""),"PRIORIDAD 1 Q3 2023 OCTUBRE")</f>
        <v>PRIORIDAD 1 Q3 2023 OCTUBRE</v>
      </c>
    </row>
    <row r="1646" ht="15.75" customHeight="1">
      <c r="A1646" s="19" t="str">
        <f>IFERROR(__xludf.DUMMYFUNCTION("""COMPUTED_VALUE"""),"AB_5642")</f>
        <v>AB_5642</v>
      </c>
      <c r="B1646" s="19" t="str">
        <f>IFERROR(__xludf.DUMMYFUNCTION("""COMPUTED_VALUE"""),"AB_5642_B")</f>
        <v>AB_5642_B</v>
      </c>
      <c r="C1646" s="19" t="str">
        <f>IFERROR(__xludf.DUMMYFUNCTION("""COMPUTED_VALUE"""),"RM5642")</f>
        <v>RM5642</v>
      </c>
      <c r="D1646" s="19" t="str">
        <f>IFERROR(__xludf.DUMMYFUNCTION("""COMPUTED_VALUE"""),"Universidad Adolfo Ibañez 2")</f>
        <v>Universidad Adolfo Ibañez 2</v>
      </c>
      <c r="E1646" s="19" t="str">
        <f>IFERROR(__xludf.DUMMYFUNCTION("""COMPUTED_VALUE"""),"SITIO RFI")</f>
        <v>SITIO RFI</v>
      </c>
      <c r="F1646" s="19"/>
      <c r="G1646" s="19" t="str">
        <f>IFERROR(__xludf.DUMMYFUNCTION("""COMPUTED_VALUE"""),"x")</f>
        <v>x</v>
      </c>
      <c r="H1646" s="19" t="str">
        <f>IFERROR(__xludf.DUMMYFUNCTION("""COMPUTED_VALUE"""),"x")</f>
        <v>x</v>
      </c>
      <c r="I1646" s="19" t="str">
        <f>IFERROR(__xludf.DUMMYFUNCTION("""COMPUTED_VALUE"""),"x")</f>
        <v>x</v>
      </c>
      <c r="J1646" s="20" t="str">
        <f>IFERROR(__xludf.DUMMYFUNCTION("""COMPUTED_VALUE"""),"x")</f>
        <v>x</v>
      </c>
      <c r="K1646" s="19" t="str">
        <f>IFERROR(__xludf.DUMMYFUNCTION("""COMPUTED_VALUE"""),"x")</f>
        <v>x</v>
      </c>
      <c r="L1646" s="20" t="str">
        <f>IFERROR(__xludf.DUMMYFUNCTION("""COMPUTED_VALUE"""),"x")</f>
        <v>x</v>
      </c>
      <c r="M1646" s="19" t="str">
        <f>IFERROR(__xludf.DUMMYFUNCTION("""COMPUTED_VALUE"""),"PCM")</f>
        <v>PCM</v>
      </c>
      <c r="N1646" s="19" t="str">
        <f>IFERROR(__xludf.DUMMYFUNCTION("""COMPUTED_VALUE"""),"PRIORIDAD 1 Q3 2023 OCTUBRE")</f>
        <v>PRIORIDAD 1 Q3 2023 OCTUBRE</v>
      </c>
    </row>
    <row r="1647" ht="15.75" customHeight="1">
      <c r="A1647" s="19" t="str">
        <f>IFERROR(__xludf.DUMMYFUNCTION("""COMPUTED_VALUE"""),"AB_5676")</f>
        <v>AB_5676</v>
      </c>
      <c r="B1647" s="19" t="str">
        <f>IFERROR(__xludf.DUMMYFUNCTION("""COMPUTED_VALUE"""),"AB_5676_A")</f>
        <v>AB_5676_A</v>
      </c>
      <c r="C1647" s="19" t="str">
        <f>IFERROR(__xludf.DUMMYFUNCTION("""COMPUTED_VALUE"""),"RM5676")</f>
        <v>RM5676</v>
      </c>
      <c r="D1647" s="19" t="str">
        <f>IFERROR(__xludf.DUMMYFUNCTION("""COMPUTED_VALUE"""),"Tiltil Oriente")</f>
        <v>Tiltil Oriente</v>
      </c>
      <c r="E1647" s="19" t="str">
        <f>IFERROR(__xludf.DUMMYFUNCTION("""COMPUTED_VALUE"""),"SITIO RFI")</f>
        <v>SITIO RFI</v>
      </c>
      <c r="F1647" s="19"/>
      <c r="G1647" s="19" t="str">
        <f>IFERROR(__xludf.DUMMYFUNCTION("""COMPUTED_VALUE"""),"x")</f>
        <v>x</v>
      </c>
      <c r="H1647" s="19" t="str">
        <f>IFERROR(__xludf.DUMMYFUNCTION("""COMPUTED_VALUE"""),"x")</f>
        <v>x</v>
      </c>
      <c r="I1647" s="19" t="str">
        <f>IFERROR(__xludf.DUMMYFUNCTION("""COMPUTED_VALUE"""),"x")</f>
        <v>x</v>
      </c>
      <c r="J1647" s="20" t="str">
        <f>IFERROR(__xludf.DUMMYFUNCTION("""COMPUTED_VALUE"""),"x")</f>
        <v>x</v>
      </c>
      <c r="K1647" s="19" t="str">
        <f>IFERROR(__xludf.DUMMYFUNCTION("""COMPUTED_VALUE"""),"x")</f>
        <v>x</v>
      </c>
      <c r="L1647" s="20" t="str">
        <f>IFERROR(__xludf.DUMMYFUNCTION("""COMPUTED_VALUE"""),"x")</f>
        <v>x</v>
      </c>
      <c r="M1647" s="19" t="str">
        <f>IFERROR(__xludf.DUMMYFUNCTION("""COMPUTED_VALUE"""),"PCM")</f>
        <v>PCM</v>
      </c>
      <c r="N1647" s="19" t="str">
        <f>IFERROR(__xludf.DUMMYFUNCTION("""COMPUTED_VALUE"""),"PRIORIDAD 1 Q3 2023 OCTUBRE")</f>
        <v>PRIORIDAD 1 Q3 2023 OCTUBRE</v>
      </c>
    </row>
    <row r="1648" ht="15.75" customHeight="1">
      <c r="A1648" s="19" t="str">
        <f>IFERROR(__xludf.DUMMYFUNCTION("""COMPUTED_VALUE"""),"AB_5737")</f>
        <v>AB_5737</v>
      </c>
      <c r="B1648" s="19" t="str">
        <f>IFERROR(__xludf.DUMMYFUNCTION("""COMPUTED_VALUE"""),"AB_5737_C")</f>
        <v>AB_5737_C</v>
      </c>
      <c r="C1648" s="19" t="str">
        <f>IFERROR(__xludf.DUMMYFUNCTION("""COMPUTED_VALUE"""),"RM5737")</f>
        <v>RM5737</v>
      </c>
      <c r="D1648" s="19" t="str">
        <f>IFERROR(__xludf.DUMMYFUNCTION("""COMPUTED_VALUE"""),"Cuatro Oriente Conchali")</f>
        <v>Cuatro Oriente Conchali</v>
      </c>
      <c r="E1648" s="19" t="str">
        <f>IFERROR(__xludf.DUMMYFUNCTION("""COMPUTED_VALUE"""),"SITIO RFI")</f>
        <v>SITIO RFI</v>
      </c>
      <c r="F1648" s="19"/>
      <c r="G1648" s="19" t="str">
        <f>IFERROR(__xludf.DUMMYFUNCTION("""COMPUTED_VALUE"""),"x")</f>
        <v>x</v>
      </c>
      <c r="H1648" s="19" t="str">
        <f>IFERROR(__xludf.DUMMYFUNCTION("""COMPUTED_VALUE"""),"x")</f>
        <v>x</v>
      </c>
      <c r="I1648" s="19" t="str">
        <f>IFERROR(__xludf.DUMMYFUNCTION("""COMPUTED_VALUE"""),"x")</f>
        <v>x</v>
      </c>
      <c r="J1648" s="20" t="str">
        <f>IFERROR(__xludf.DUMMYFUNCTION("""COMPUTED_VALUE"""),"x")</f>
        <v>x</v>
      </c>
      <c r="K1648" s="19" t="str">
        <f>IFERROR(__xludf.DUMMYFUNCTION("""COMPUTED_VALUE"""),"x")</f>
        <v>x</v>
      </c>
      <c r="L1648" s="20" t="str">
        <f>IFERROR(__xludf.DUMMYFUNCTION("""COMPUTED_VALUE"""),"x")</f>
        <v>x</v>
      </c>
      <c r="M1648" s="19" t="str">
        <f>IFERROR(__xludf.DUMMYFUNCTION("""COMPUTED_VALUE"""),"PCM")</f>
        <v>PCM</v>
      </c>
      <c r="N1648" s="19" t="str">
        <f>IFERROR(__xludf.DUMMYFUNCTION("""COMPUTED_VALUE"""),"PRIORIDAD 1 Q3 2023 OCTUBRE")</f>
        <v>PRIORIDAD 1 Q3 2023 OCTUBRE</v>
      </c>
    </row>
    <row r="1649" ht="15.75" customHeight="1">
      <c r="A1649" s="19" t="str">
        <f>IFERROR(__xludf.DUMMYFUNCTION("""COMPUTED_VALUE"""),"AB_6701")</f>
        <v>AB_6701</v>
      </c>
      <c r="B1649" s="19" t="str">
        <f>IFERROR(__xludf.DUMMYFUNCTION("""COMPUTED_VALUE"""),"AB_6701_C")</f>
        <v>AB_6701_C</v>
      </c>
      <c r="C1649" s="19" t="str">
        <f>IFERROR(__xludf.DUMMYFUNCTION("""COMPUTED_VALUE"""),"RM6701")</f>
        <v>RM6701</v>
      </c>
      <c r="D1649" s="19" t="str">
        <f>IFERROR(__xludf.DUMMYFUNCTION("""COMPUTED_VALUE"""),"Parque Bajo")</f>
        <v>Parque Bajo</v>
      </c>
      <c r="E1649" s="19" t="str">
        <f>IFERROR(__xludf.DUMMYFUNCTION("""COMPUTED_VALUE"""),"SITIO RFI")</f>
        <v>SITIO RFI</v>
      </c>
      <c r="F1649" s="19"/>
      <c r="G1649" s="19" t="str">
        <f>IFERROR(__xludf.DUMMYFUNCTION("""COMPUTED_VALUE"""),"x")</f>
        <v>x</v>
      </c>
      <c r="H1649" s="19" t="str">
        <f>IFERROR(__xludf.DUMMYFUNCTION("""COMPUTED_VALUE"""),"x")</f>
        <v>x</v>
      </c>
      <c r="I1649" s="19" t="str">
        <f>IFERROR(__xludf.DUMMYFUNCTION("""COMPUTED_VALUE"""),"x")</f>
        <v>x</v>
      </c>
      <c r="J1649" s="20" t="str">
        <f>IFERROR(__xludf.DUMMYFUNCTION("""COMPUTED_VALUE"""),"x")</f>
        <v>x</v>
      </c>
      <c r="K1649" s="19" t="str">
        <f>IFERROR(__xludf.DUMMYFUNCTION("""COMPUTED_VALUE"""),"x")</f>
        <v>x</v>
      </c>
      <c r="L1649" s="20" t="str">
        <f>IFERROR(__xludf.DUMMYFUNCTION("""COMPUTED_VALUE"""),"x")</f>
        <v>x</v>
      </c>
      <c r="M1649" s="19" t="str">
        <f>IFERROR(__xludf.DUMMYFUNCTION("""COMPUTED_VALUE"""),"PCM")</f>
        <v>PCM</v>
      </c>
      <c r="N1649" s="19" t="str">
        <f>IFERROR(__xludf.DUMMYFUNCTION("""COMPUTED_VALUE"""),"PRIORIDAD 1 Q3 2023 OCTUBRE")</f>
        <v>PRIORIDAD 1 Q3 2023 OCTUBRE</v>
      </c>
    </row>
    <row r="1650" ht="15.75" customHeight="1">
      <c r="A1650" s="19" t="str">
        <f>IFERROR(__xludf.DUMMYFUNCTION("""COMPUTED_VALUE"""),"AB_6886")</f>
        <v>AB_6886</v>
      </c>
      <c r="B1650" s="19" t="str">
        <f>IFERROR(__xludf.DUMMYFUNCTION("""COMPUTED_VALUE"""),"AB_6886_A")</f>
        <v>AB_6886_A</v>
      </c>
      <c r="C1650" s="19" t="str">
        <f>IFERROR(__xludf.DUMMYFUNCTION("""COMPUTED_VALUE"""),"RM6886")</f>
        <v>RM6886</v>
      </c>
      <c r="D1650" s="19" t="str">
        <f>IFERROR(__xludf.DUMMYFUNCTION("""COMPUTED_VALUE"""),"Matias Cousiño Peñalolen")</f>
        <v>Matias Cousiño Peñalolen</v>
      </c>
      <c r="E1650" s="19" t="str">
        <f>IFERROR(__xludf.DUMMYFUNCTION("""COMPUTED_VALUE"""),"SITIO RFI")</f>
        <v>SITIO RFI</v>
      </c>
      <c r="F1650" s="19"/>
      <c r="G1650" s="19" t="str">
        <f>IFERROR(__xludf.DUMMYFUNCTION("""COMPUTED_VALUE"""),"x")</f>
        <v>x</v>
      </c>
      <c r="H1650" s="19" t="str">
        <f>IFERROR(__xludf.DUMMYFUNCTION("""COMPUTED_VALUE"""),"x")</f>
        <v>x</v>
      </c>
      <c r="I1650" s="19" t="str">
        <f>IFERROR(__xludf.DUMMYFUNCTION("""COMPUTED_VALUE"""),"x")</f>
        <v>x</v>
      </c>
      <c r="J1650" s="20" t="str">
        <f>IFERROR(__xludf.DUMMYFUNCTION("""COMPUTED_VALUE"""),"x")</f>
        <v>x</v>
      </c>
      <c r="K1650" s="19" t="str">
        <f>IFERROR(__xludf.DUMMYFUNCTION("""COMPUTED_VALUE"""),"x")</f>
        <v>x</v>
      </c>
      <c r="L1650" s="20" t="str">
        <f>IFERROR(__xludf.DUMMYFUNCTION("""COMPUTED_VALUE"""),"x")</f>
        <v>x</v>
      </c>
      <c r="M1650" s="19" t="str">
        <f>IFERROR(__xludf.DUMMYFUNCTION("""COMPUTED_VALUE"""),"PCM_4")</f>
        <v>PCM_4</v>
      </c>
      <c r="N1650" s="19" t="str">
        <f>IFERROR(__xludf.DUMMYFUNCTION("""COMPUTED_VALUE"""),"PRIORIDAD 3 Q1 2024 MARZO")</f>
        <v>PRIORIDAD 3 Q1 2024 MARZO</v>
      </c>
    </row>
    <row r="1651" ht="15.75" customHeight="1">
      <c r="A1651" s="19" t="str">
        <f>IFERROR(__xludf.DUMMYFUNCTION("""COMPUTED_VALUE"""),"AB_7128")</f>
        <v>AB_7128</v>
      </c>
      <c r="B1651" s="19" t="str">
        <f>IFERROR(__xludf.DUMMYFUNCTION("""COMPUTED_VALUE"""),"AB_7128_E")</f>
        <v>AB_7128_E</v>
      </c>
      <c r="C1651" s="19" t="str">
        <f>IFERROR(__xludf.DUMMYFUNCTION("""COMPUTED_VALUE"""),"RM7128")</f>
        <v>RM7128</v>
      </c>
      <c r="D1651" s="19" t="str">
        <f>IFERROR(__xludf.DUMMYFUNCTION("""COMPUTED_VALUE"""),"Gruta Lourdes RU1")</f>
        <v>Gruta Lourdes RU1</v>
      </c>
      <c r="E1651" s="19" t="str">
        <f>IFERROR(__xludf.DUMMYFUNCTION("""COMPUTED_VALUE"""),"SITIO RFI")</f>
        <v>SITIO RFI</v>
      </c>
      <c r="F1651" s="19"/>
      <c r="G1651" s="19" t="str">
        <f>IFERROR(__xludf.DUMMYFUNCTION("""COMPUTED_VALUE"""),"x")</f>
        <v>x</v>
      </c>
      <c r="H1651" s="19" t="str">
        <f>IFERROR(__xludf.DUMMYFUNCTION("""COMPUTED_VALUE"""),"x")</f>
        <v>x</v>
      </c>
      <c r="I1651" s="19" t="str">
        <f>IFERROR(__xludf.DUMMYFUNCTION("""COMPUTED_VALUE"""),"x")</f>
        <v>x</v>
      </c>
      <c r="J1651" s="20" t="str">
        <f>IFERROR(__xludf.DUMMYFUNCTION("""COMPUTED_VALUE"""),"x")</f>
        <v>x</v>
      </c>
      <c r="K1651" s="19" t="str">
        <f>IFERROR(__xludf.DUMMYFUNCTION("""COMPUTED_VALUE"""),"x")</f>
        <v>x</v>
      </c>
      <c r="L1651" s="20" t="str">
        <f>IFERROR(__xludf.DUMMYFUNCTION("""COMPUTED_VALUE"""),"x")</f>
        <v>x</v>
      </c>
      <c r="M1651" s="19" t="str">
        <f>IFERROR(__xludf.DUMMYFUNCTION("""COMPUTED_VALUE"""),"PCM")</f>
        <v>PCM</v>
      </c>
      <c r="N1651" s="19" t="str">
        <f>IFERROR(__xludf.DUMMYFUNCTION("""COMPUTED_VALUE"""),"PRIORIDAD 1 Q3 2023 OCTUBRE")</f>
        <v>PRIORIDAD 1 Q3 2023 OCTUBRE</v>
      </c>
    </row>
    <row r="1652" ht="15.75" customHeight="1">
      <c r="A1652" s="19" t="str">
        <f>IFERROR(__xludf.DUMMYFUNCTION("""COMPUTED_VALUE"""),"AB_7209")</f>
        <v>AB_7209</v>
      </c>
      <c r="B1652" s="19" t="str">
        <f>IFERROR(__xludf.DUMMYFUNCTION("""COMPUTED_VALUE"""),"AB_7209_K")</f>
        <v>AB_7209_K</v>
      </c>
      <c r="C1652" s="19" t="str">
        <f>IFERROR(__xludf.DUMMYFUNCTION("""COMPUTED_VALUE"""),"RM7209")</f>
        <v>RM7209</v>
      </c>
      <c r="D1652" s="19" t="str">
        <f>IFERROR(__xludf.DUMMYFUNCTION("""COMPUTED_VALUE"""),"2da Compañia Peñaflor")</f>
        <v>2da Compañia Peñaflor</v>
      </c>
      <c r="E1652" s="19" t="str">
        <f>IFERROR(__xludf.DUMMYFUNCTION("""COMPUTED_VALUE"""),"SITIO RFI")</f>
        <v>SITIO RFI</v>
      </c>
      <c r="F1652" s="19"/>
      <c r="G1652" s="19" t="str">
        <f>IFERROR(__xludf.DUMMYFUNCTION("""COMPUTED_VALUE"""),"x")</f>
        <v>x</v>
      </c>
      <c r="H1652" s="19" t="str">
        <f>IFERROR(__xludf.DUMMYFUNCTION("""COMPUTED_VALUE"""),"x")</f>
        <v>x</v>
      </c>
      <c r="I1652" s="19" t="str">
        <f>IFERROR(__xludf.DUMMYFUNCTION("""COMPUTED_VALUE"""),"x")</f>
        <v>x</v>
      </c>
      <c r="J1652" s="20" t="str">
        <f>IFERROR(__xludf.DUMMYFUNCTION("""COMPUTED_VALUE"""),"x")</f>
        <v>x</v>
      </c>
      <c r="K1652" s="19" t="str">
        <f>IFERROR(__xludf.DUMMYFUNCTION("""COMPUTED_VALUE"""),"x")</f>
        <v>x</v>
      </c>
      <c r="L1652" s="20" t="str">
        <f>IFERROR(__xludf.DUMMYFUNCTION("""COMPUTED_VALUE"""),"x")</f>
        <v>x</v>
      </c>
      <c r="M1652" s="19" t="str">
        <f>IFERROR(__xludf.DUMMYFUNCTION("""COMPUTED_VALUE"""),"PCM")</f>
        <v>PCM</v>
      </c>
      <c r="N1652" s="19" t="str">
        <f>IFERROR(__xludf.DUMMYFUNCTION("""COMPUTED_VALUE"""),"PRIORIDAD 1 Q3 2023 OCTUBRE")</f>
        <v>PRIORIDAD 1 Q3 2023 OCTUBRE</v>
      </c>
    </row>
    <row r="1653" ht="15.75" customHeight="1">
      <c r="A1653" s="19" t="str">
        <f>IFERROR(__xludf.DUMMYFUNCTION("""COMPUTED_VALUE"""),"AB_7733")</f>
        <v>AB_7733</v>
      </c>
      <c r="B1653" s="19" t="str">
        <f>IFERROR(__xludf.DUMMYFUNCTION("""COMPUTED_VALUE"""),"AB_7733_B")</f>
        <v>AB_7733_B</v>
      </c>
      <c r="C1653" s="19" t="str">
        <f>IFERROR(__xludf.DUMMYFUNCTION("""COMPUTED_VALUE"""),"RM7733")</f>
        <v>RM7733</v>
      </c>
      <c r="D1653" s="19" t="str">
        <f>IFERROR(__xludf.DUMMYFUNCTION("""COMPUTED_VALUE"""),"La Pintana Joaquin Edwards")</f>
        <v>La Pintana Joaquin Edwards</v>
      </c>
      <c r="E1653" s="19" t="str">
        <f>IFERROR(__xludf.DUMMYFUNCTION("""COMPUTED_VALUE"""),"SITIO RFI")</f>
        <v>SITIO RFI</v>
      </c>
      <c r="F1653" s="19"/>
      <c r="G1653" s="19" t="str">
        <f>IFERROR(__xludf.DUMMYFUNCTION("""COMPUTED_VALUE"""),"x")</f>
        <v>x</v>
      </c>
      <c r="H1653" s="19" t="str">
        <f>IFERROR(__xludf.DUMMYFUNCTION("""COMPUTED_VALUE"""),"x")</f>
        <v>x</v>
      </c>
      <c r="I1653" s="19" t="str">
        <f>IFERROR(__xludf.DUMMYFUNCTION("""COMPUTED_VALUE"""),"x")</f>
        <v>x</v>
      </c>
      <c r="J1653" s="20" t="str">
        <f>IFERROR(__xludf.DUMMYFUNCTION("""COMPUTED_VALUE"""),"x")</f>
        <v>x</v>
      </c>
      <c r="K1653" s="19" t="str">
        <f>IFERROR(__xludf.DUMMYFUNCTION("""COMPUTED_VALUE"""),"x")</f>
        <v>x</v>
      </c>
      <c r="L1653" s="20" t="str">
        <f>IFERROR(__xludf.DUMMYFUNCTION("""COMPUTED_VALUE"""),"x")</f>
        <v>x</v>
      </c>
      <c r="M1653" s="19" t="str">
        <f>IFERROR(__xludf.DUMMYFUNCTION("""COMPUTED_VALUE"""),"PCM")</f>
        <v>PCM</v>
      </c>
      <c r="N1653" s="19" t="str">
        <f>IFERROR(__xludf.DUMMYFUNCTION("""COMPUTED_VALUE"""),"PRIORIDAD 1 Q3 2023 OCTUBRE")</f>
        <v>PRIORIDAD 1 Q3 2023 OCTUBRE</v>
      </c>
    </row>
    <row r="1654" ht="15.75" customHeight="1">
      <c r="A1654" s="19" t="str">
        <f>IFERROR(__xludf.DUMMYFUNCTION("""COMPUTED_VALUE"""),"AB_7759")</f>
        <v>AB_7759</v>
      </c>
      <c r="B1654" s="19" t="str">
        <f>IFERROR(__xludf.DUMMYFUNCTION("""COMPUTED_VALUE"""),"AB_7759_D")</f>
        <v>AB_7759_D</v>
      </c>
      <c r="C1654" s="19" t="str">
        <f>IFERROR(__xludf.DUMMYFUNCTION("""COMPUTED_VALUE"""),"RM7759")</f>
        <v>RM7759</v>
      </c>
      <c r="D1654" s="19" t="str">
        <f>IFERROR(__xludf.DUMMYFUNCTION("""COMPUTED_VALUE"""),"Adolfo Ibañez Universidad")</f>
        <v>Adolfo Ibañez Universidad</v>
      </c>
      <c r="E1654" s="19" t="str">
        <f>IFERROR(__xludf.DUMMYFUNCTION("""COMPUTED_VALUE"""),"SITIO RFI")</f>
        <v>SITIO RFI</v>
      </c>
      <c r="F1654" s="19"/>
      <c r="G1654" s="19" t="str">
        <f>IFERROR(__xludf.DUMMYFUNCTION("""COMPUTED_VALUE"""),"x")</f>
        <v>x</v>
      </c>
      <c r="H1654" s="19" t="str">
        <f>IFERROR(__xludf.DUMMYFUNCTION("""COMPUTED_VALUE"""),"x")</f>
        <v>x</v>
      </c>
      <c r="I1654" s="19" t="str">
        <f>IFERROR(__xludf.DUMMYFUNCTION("""COMPUTED_VALUE"""),"x")</f>
        <v>x</v>
      </c>
      <c r="J1654" s="20" t="str">
        <f>IFERROR(__xludf.DUMMYFUNCTION("""COMPUTED_VALUE"""),"x")</f>
        <v>x</v>
      </c>
      <c r="K1654" s="19" t="str">
        <f>IFERROR(__xludf.DUMMYFUNCTION("""COMPUTED_VALUE"""),"x")</f>
        <v>x</v>
      </c>
      <c r="L1654" s="20" t="str">
        <f>IFERROR(__xludf.DUMMYFUNCTION("""COMPUTED_VALUE"""),"x")</f>
        <v>x</v>
      </c>
      <c r="M1654" s="19" t="str">
        <f>IFERROR(__xludf.DUMMYFUNCTION("""COMPUTED_VALUE"""),"PCM")</f>
        <v>PCM</v>
      </c>
      <c r="N1654" s="19" t="str">
        <f>IFERROR(__xludf.DUMMYFUNCTION("""COMPUTED_VALUE"""),"PRIORIDAD 1 Q3 2023 OCTUBRE")</f>
        <v>PRIORIDAD 1 Q3 2023 OCTUBRE</v>
      </c>
    </row>
    <row r="1655" ht="15.75" customHeight="1">
      <c r="A1655" s="19" t="str">
        <f>IFERROR(__xludf.DUMMYFUNCTION("""COMPUTED_VALUE"""),"AB_7783")</f>
        <v>AB_7783</v>
      </c>
      <c r="B1655" s="19" t="str">
        <f>IFERROR(__xludf.DUMMYFUNCTION("""COMPUTED_VALUE"""),"AB_7783_B")</f>
        <v>AB_7783_B</v>
      </c>
      <c r="C1655" s="19" t="str">
        <f>IFERROR(__xludf.DUMMYFUNCTION("""COMPUTED_VALUE"""),"RM7783")</f>
        <v>RM7783</v>
      </c>
      <c r="D1655" s="19" t="str">
        <f>IFERROR(__xludf.DUMMYFUNCTION("""COMPUTED_VALUE"""),"Edgard Allan Poe")</f>
        <v>Edgard Allan Poe</v>
      </c>
      <c r="E1655" s="19" t="str">
        <f>IFERROR(__xludf.DUMMYFUNCTION("""COMPUTED_VALUE"""),"SITIO RFI")</f>
        <v>SITIO RFI</v>
      </c>
      <c r="F1655" s="19"/>
      <c r="G1655" s="19" t="str">
        <f>IFERROR(__xludf.DUMMYFUNCTION("""COMPUTED_VALUE"""),"x")</f>
        <v>x</v>
      </c>
      <c r="H1655" s="19" t="str">
        <f>IFERROR(__xludf.DUMMYFUNCTION("""COMPUTED_VALUE"""),"x")</f>
        <v>x</v>
      </c>
      <c r="I1655" s="19" t="str">
        <f>IFERROR(__xludf.DUMMYFUNCTION("""COMPUTED_VALUE"""),"x")</f>
        <v>x</v>
      </c>
      <c r="J1655" s="20" t="str">
        <f>IFERROR(__xludf.DUMMYFUNCTION("""COMPUTED_VALUE"""),"x")</f>
        <v>x</v>
      </c>
      <c r="K1655" s="19" t="str">
        <f>IFERROR(__xludf.DUMMYFUNCTION("""COMPUTED_VALUE"""),"x")</f>
        <v>x</v>
      </c>
      <c r="L1655" s="20" t="str">
        <f>IFERROR(__xludf.DUMMYFUNCTION("""COMPUTED_VALUE"""),"x")</f>
        <v>x</v>
      </c>
      <c r="M1655" s="19" t="str">
        <f>IFERROR(__xludf.DUMMYFUNCTION("""COMPUTED_VALUE"""),"PCM")</f>
        <v>PCM</v>
      </c>
      <c r="N1655" s="19" t="str">
        <f>IFERROR(__xludf.DUMMYFUNCTION("""COMPUTED_VALUE"""),"PRIORIDAD 1 Q3 2023 OCTUBRE")</f>
        <v>PRIORIDAD 1 Q3 2023 OCTUBRE</v>
      </c>
    </row>
    <row r="1656" ht="15.75" customHeight="1">
      <c r="A1656" s="19" t="str">
        <f>IFERROR(__xludf.DUMMYFUNCTION("""COMPUTED_VALUE"""),"AB_7785")</f>
        <v>AB_7785</v>
      </c>
      <c r="B1656" s="19" t="str">
        <f>IFERROR(__xludf.DUMMYFUNCTION("""COMPUTED_VALUE"""),"AB_7785_B")</f>
        <v>AB_7785_B</v>
      </c>
      <c r="C1656" s="19" t="str">
        <f>IFERROR(__xludf.DUMMYFUNCTION("""COMPUTED_VALUE"""),"RM7785")</f>
        <v>RM7785</v>
      </c>
      <c r="D1656" s="19" t="str">
        <f>IFERROR(__xludf.DUMMYFUNCTION("""COMPUTED_VALUE"""),"Barros Arana Renca")</f>
        <v>Barros Arana Renca</v>
      </c>
      <c r="E1656" s="19" t="str">
        <f>IFERROR(__xludf.DUMMYFUNCTION("""COMPUTED_VALUE"""),"SITIO RFI")</f>
        <v>SITIO RFI</v>
      </c>
      <c r="F1656" s="19"/>
      <c r="G1656" s="19" t="str">
        <f>IFERROR(__xludf.DUMMYFUNCTION("""COMPUTED_VALUE"""),"x")</f>
        <v>x</v>
      </c>
      <c r="H1656" s="19" t="str">
        <f>IFERROR(__xludf.DUMMYFUNCTION("""COMPUTED_VALUE"""),"x")</f>
        <v>x</v>
      </c>
      <c r="I1656" s="19" t="str">
        <f>IFERROR(__xludf.DUMMYFUNCTION("""COMPUTED_VALUE"""),"x")</f>
        <v>x</v>
      </c>
      <c r="J1656" s="20" t="str">
        <f>IFERROR(__xludf.DUMMYFUNCTION("""COMPUTED_VALUE"""),"x")</f>
        <v>x</v>
      </c>
      <c r="K1656" s="19" t="str">
        <f>IFERROR(__xludf.DUMMYFUNCTION("""COMPUTED_VALUE"""),"x")</f>
        <v>x</v>
      </c>
      <c r="L1656" s="20" t="str">
        <f>IFERROR(__xludf.DUMMYFUNCTION("""COMPUTED_VALUE"""),"x")</f>
        <v>x</v>
      </c>
      <c r="M1656" s="19" t="str">
        <f>IFERROR(__xludf.DUMMYFUNCTION("""COMPUTED_VALUE"""),"PCM")</f>
        <v>PCM</v>
      </c>
      <c r="N1656" s="19" t="str">
        <f>IFERROR(__xludf.DUMMYFUNCTION("""COMPUTED_VALUE"""),"PRIORIDAD 1 Q3 2023 OCTUBRE")</f>
        <v>PRIORIDAD 1 Q3 2023 OCTUBRE</v>
      </c>
    </row>
    <row r="1657" ht="15.75" customHeight="1">
      <c r="A1657" s="19" t="str">
        <f>IFERROR(__xludf.DUMMYFUNCTION("""COMPUTED_VALUE"""),"AB_7926")</f>
        <v>AB_7926</v>
      </c>
      <c r="B1657" s="19" t="str">
        <f>IFERROR(__xludf.DUMMYFUNCTION("""COMPUTED_VALUE"""),"AB_7926_A")</f>
        <v>AB_7926_A</v>
      </c>
      <c r="C1657" s="19" t="str">
        <f>IFERROR(__xludf.DUMMYFUNCTION("""COMPUTED_VALUE"""),"RM7926")</f>
        <v>RM7926</v>
      </c>
      <c r="D1657" s="19" t="str">
        <f>IFERROR(__xludf.DUMMYFUNCTION("""COMPUTED_VALUE"""),"Camino a Melipilla Reubicacion RU1")</f>
        <v>Camino a Melipilla Reubicacion RU1</v>
      </c>
      <c r="E1657" s="19" t="str">
        <f>IFERROR(__xludf.DUMMYFUNCTION("""COMPUTED_VALUE"""),"SITIO RFI")</f>
        <v>SITIO RFI</v>
      </c>
      <c r="F1657" s="19"/>
      <c r="G1657" s="19" t="str">
        <f>IFERROR(__xludf.DUMMYFUNCTION("""COMPUTED_VALUE"""),"x")</f>
        <v>x</v>
      </c>
      <c r="H1657" s="19" t="str">
        <f>IFERROR(__xludf.DUMMYFUNCTION("""COMPUTED_VALUE"""),"x")</f>
        <v>x</v>
      </c>
      <c r="I1657" s="19" t="str">
        <f>IFERROR(__xludf.DUMMYFUNCTION("""COMPUTED_VALUE"""),"x")</f>
        <v>x</v>
      </c>
      <c r="J1657" s="20" t="str">
        <f>IFERROR(__xludf.DUMMYFUNCTION("""COMPUTED_VALUE"""),"x")</f>
        <v>x</v>
      </c>
      <c r="K1657" s="19" t="str">
        <f>IFERROR(__xludf.DUMMYFUNCTION("""COMPUTED_VALUE"""),"x")</f>
        <v>x</v>
      </c>
      <c r="L1657" s="20" t="str">
        <f>IFERROR(__xludf.DUMMYFUNCTION("""COMPUTED_VALUE"""),"x")</f>
        <v>x</v>
      </c>
      <c r="M1657" s="19" t="str">
        <f>IFERROR(__xludf.DUMMYFUNCTION("""COMPUTED_VALUE"""),"PCM")</f>
        <v>PCM</v>
      </c>
      <c r="N1657" s="19" t="str">
        <f>IFERROR(__xludf.DUMMYFUNCTION("""COMPUTED_VALUE"""),"PRIORIDAD 1 Q3 2023 OCTUBRE")</f>
        <v>PRIORIDAD 1 Q3 2023 OCTUBRE</v>
      </c>
    </row>
    <row r="1658" ht="15.75" customHeight="1">
      <c r="A1658" s="19" t="str">
        <f>IFERROR(__xludf.DUMMYFUNCTION("""COMPUTED_VALUE"""),"AB_8066")</f>
        <v>AB_8066</v>
      </c>
      <c r="B1658" s="19" t="str">
        <f>IFERROR(__xludf.DUMMYFUNCTION("""COMPUTED_VALUE"""),"AB_8066_B")</f>
        <v>AB_8066_B</v>
      </c>
      <c r="C1658" s="19" t="str">
        <f>IFERROR(__xludf.DUMMYFUNCTION("""COMPUTED_VALUE"""),"RM8066")</f>
        <v>RM8066</v>
      </c>
      <c r="D1658" s="19" t="str">
        <f>IFERROR(__xludf.DUMMYFUNCTION("""COMPUTED_VALUE"""),"Los Lirios - Puente Alto RU1")</f>
        <v>Los Lirios - Puente Alto RU1</v>
      </c>
      <c r="E1658" s="19" t="str">
        <f>IFERROR(__xludf.DUMMYFUNCTION("""COMPUTED_VALUE"""),"SITIO RFI")</f>
        <v>SITIO RFI</v>
      </c>
      <c r="F1658" s="19"/>
      <c r="G1658" s="19" t="str">
        <f>IFERROR(__xludf.DUMMYFUNCTION("""COMPUTED_VALUE"""),"x")</f>
        <v>x</v>
      </c>
      <c r="H1658" s="19" t="str">
        <f>IFERROR(__xludf.DUMMYFUNCTION("""COMPUTED_VALUE"""),"x")</f>
        <v>x</v>
      </c>
      <c r="I1658" s="19" t="str">
        <f>IFERROR(__xludf.DUMMYFUNCTION("""COMPUTED_VALUE"""),"x")</f>
        <v>x</v>
      </c>
      <c r="J1658" s="20" t="str">
        <f>IFERROR(__xludf.DUMMYFUNCTION("""COMPUTED_VALUE"""),"x")</f>
        <v>x</v>
      </c>
      <c r="K1658" s="19" t="str">
        <f>IFERROR(__xludf.DUMMYFUNCTION("""COMPUTED_VALUE"""),"x")</f>
        <v>x</v>
      </c>
      <c r="L1658" s="20" t="str">
        <f>IFERROR(__xludf.DUMMYFUNCTION("""COMPUTED_VALUE"""),"x")</f>
        <v>x</v>
      </c>
      <c r="M1658" s="19" t="str">
        <f>IFERROR(__xludf.DUMMYFUNCTION("""COMPUTED_VALUE"""),"PCM")</f>
        <v>PCM</v>
      </c>
      <c r="N1658" s="19" t="str">
        <f>IFERROR(__xludf.DUMMYFUNCTION("""COMPUTED_VALUE"""),"PRIORIDAD 1 Q3 2023 OCTUBRE")</f>
        <v>PRIORIDAD 1 Q3 2023 OCTUBRE</v>
      </c>
    </row>
    <row r="1659" ht="15.75" customHeight="1">
      <c r="A1659" s="19" t="str">
        <f>IFERROR(__xludf.DUMMYFUNCTION("""COMPUTED_VALUE"""),"AB_8262")</f>
        <v>AB_8262</v>
      </c>
      <c r="B1659" s="19" t="str">
        <f>IFERROR(__xludf.DUMMYFUNCTION("""COMPUTED_VALUE"""),"AB_8262_G")</f>
        <v>AB_8262_G</v>
      </c>
      <c r="C1659" s="19" t="str">
        <f>IFERROR(__xludf.DUMMYFUNCTION("""COMPUTED_VALUE"""),"RM8262")</f>
        <v>RM8262</v>
      </c>
      <c r="D1659" s="19" t="str">
        <f>IFERROR(__xludf.DUMMYFUNCTION("""COMPUTED_VALUE"""),"San Pedro Centro")</f>
        <v>San Pedro Centro</v>
      </c>
      <c r="E1659" s="19" t="str">
        <f>IFERROR(__xludf.DUMMYFUNCTION("""COMPUTED_VALUE"""),"SITIO PENDIENTE")</f>
        <v>SITIO PENDIENTE</v>
      </c>
      <c r="F1659" s="19"/>
      <c r="G1659" s="19" t="str">
        <f>IFERROR(__xludf.DUMMYFUNCTION("""COMPUTED_VALUE"""),"x")</f>
        <v>x</v>
      </c>
      <c r="H1659" s="19" t="str">
        <f>IFERROR(__xludf.DUMMYFUNCTION("""COMPUTED_VALUE"""),"x")</f>
        <v>x</v>
      </c>
      <c r="I1659" s="19" t="str">
        <f>IFERROR(__xludf.DUMMYFUNCTION("""COMPUTED_VALUE"""),"x")</f>
        <v>x</v>
      </c>
      <c r="J1659" s="20" t="str">
        <f>IFERROR(__xludf.DUMMYFUNCTION("""COMPUTED_VALUE"""),"x")</f>
        <v>x</v>
      </c>
      <c r="K1659" s="19" t="str">
        <f>IFERROR(__xludf.DUMMYFUNCTION("""COMPUTED_VALUE"""),"x")</f>
        <v>x</v>
      </c>
      <c r="L1659" s="20" t="str">
        <f>IFERROR(__xludf.DUMMYFUNCTION("""COMPUTED_VALUE"""),"x")</f>
        <v>x</v>
      </c>
      <c r="M1659" s="19" t="str">
        <f>IFERROR(__xludf.DUMMYFUNCTION("""COMPUTED_VALUE"""),"PCM")</f>
        <v>PCM</v>
      </c>
      <c r="N1659" s="19" t="str">
        <f>IFERROR(__xludf.DUMMYFUNCTION("""COMPUTED_VALUE"""),"PRIORIDAD 3 Q1 2024 MARZO")</f>
        <v>PRIORIDAD 3 Q1 2024 MARZO</v>
      </c>
    </row>
    <row r="1660" ht="15.75" customHeight="1">
      <c r="A1660" s="19" t="str">
        <f>IFERROR(__xludf.DUMMYFUNCTION("""COMPUTED_VALUE"""),"AB_8382")</f>
        <v>AB_8382</v>
      </c>
      <c r="B1660" s="19" t="str">
        <f>IFERROR(__xludf.DUMMYFUNCTION("""COMPUTED_VALUE"""),"AB_8382_A")</f>
        <v>AB_8382_A</v>
      </c>
      <c r="C1660" s="19" t="str">
        <f>IFERROR(__xludf.DUMMYFUNCTION("""COMPUTED_VALUE"""),"RM8382")</f>
        <v>RM8382</v>
      </c>
      <c r="D1660" s="19" t="str">
        <f>IFERROR(__xludf.DUMMYFUNCTION("""COMPUTED_VALUE"""),"Teresa Lefort Maipu")</f>
        <v>Teresa Lefort Maipu</v>
      </c>
      <c r="E1660" s="19" t="str">
        <f>IFERROR(__xludf.DUMMYFUNCTION("""COMPUTED_VALUE"""),"SITIO RFI")</f>
        <v>SITIO RFI</v>
      </c>
      <c r="F1660" s="19"/>
      <c r="G1660" s="19" t="str">
        <f>IFERROR(__xludf.DUMMYFUNCTION("""COMPUTED_VALUE"""),"x")</f>
        <v>x</v>
      </c>
      <c r="H1660" s="19" t="str">
        <f>IFERROR(__xludf.DUMMYFUNCTION("""COMPUTED_VALUE"""),"x")</f>
        <v>x</v>
      </c>
      <c r="I1660" s="19" t="str">
        <f>IFERROR(__xludf.DUMMYFUNCTION("""COMPUTED_VALUE"""),"x")</f>
        <v>x</v>
      </c>
      <c r="J1660" s="20" t="str">
        <f>IFERROR(__xludf.DUMMYFUNCTION("""COMPUTED_VALUE"""),"x")</f>
        <v>x</v>
      </c>
      <c r="K1660" s="19" t="str">
        <f>IFERROR(__xludf.DUMMYFUNCTION("""COMPUTED_VALUE"""),"x")</f>
        <v>x</v>
      </c>
      <c r="L1660" s="20" t="str">
        <f>IFERROR(__xludf.DUMMYFUNCTION("""COMPUTED_VALUE"""),"x")</f>
        <v>x</v>
      </c>
      <c r="M1660" s="19" t="str">
        <f>IFERROR(__xludf.DUMMYFUNCTION("""COMPUTED_VALUE"""),"PCM")</f>
        <v>PCM</v>
      </c>
      <c r="N1660" s="19" t="str">
        <f>IFERROR(__xludf.DUMMYFUNCTION("""COMPUTED_VALUE"""),"PRIORIDAD 1 Q3 2023 OCTUBRE")</f>
        <v>PRIORIDAD 1 Q3 2023 OCTUBRE</v>
      </c>
    </row>
    <row r="1661" ht="15.75" customHeight="1">
      <c r="A1661" s="19" t="str">
        <f>IFERROR(__xludf.DUMMYFUNCTION("""COMPUTED_VALUE"""),"AB_8591")</f>
        <v>AB_8591</v>
      </c>
      <c r="B1661" s="19" t="str">
        <f>IFERROR(__xludf.DUMMYFUNCTION("""COMPUTED_VALUE"""),"AB_8591_A")</f>
        <v>AB_8591_A</v>
      </c>
      <c r="C1661" s="19" t="str">
        <f>IFERROR(__xludf.DUMMYFUNCTION("""COMPUTED_VALUE"""),"RM8591")</f>
        <v>RM8591</v>
      </c>
      <c r="D1661" s="19" t="str">
        <f>IFERROR(__xludf.DUMMYFUNCTION("""COMPUTED_VALUE"""),"Asentamiento Colocolo")</f>
        <v>Asentamiento Colocolo</v>
      </c>
      <c r="E1661" s="19" t="str">
        <f>IFERROR(__xludf.DUMMYFUNCTION("""COMPUTED_VALUE"""),"SITIO RFI")</f>
        <v>SITIO RFI</v>
      </c>
      <c r="F1661" s="19"/>
      <c r="G1661" s="19" t="str">
        <f>IFERROR(__xludf.DUMMYFUNCTION("""COMPUTED_VALUE"""),"x")</f>
        <v>x</v>
      </c>
      <c r="H1661" s="19" t="str">
        <f>IFERROR(__xludf.DUMMYFUNCTION("""COMPUTED_VALUE"""),"x")</f>
        <v>x</v>
      </c>
      <c r="I1661" s="19" t="str">
        <f>IFERROR(__xludf.DUMMYFUNCTION("""COMPUTED_VALUE"""),"x")</f>
        <v>x</v>
      </c>
      <c r="J1661" s="20" t="str">
        <f>IFERROR(__xludf.DUMMYFUNCTION("""COMPUTED_VALUE"""),"x")</f>
        <v>x</v>
      </c>
      <c r="K1661" s="19" t="str">
        <f>IFERROR(__xludf.DUMMYFUNCTION("""COMPUTED_VALUE"""),"x")</f>
        <v>x</v>
      </c>
      <c r="L1661" s="20" t="str">
        <f>IFERROR(__xludf.DUMMYFUNCTION("""COMPUTED_VALUE"""),"x")</f>
        <v>x</v>
      </c>
      <c r="M1661" s="19" t="str">
        <f>IFERROR(__xludf.DUMMYFUNCTION("""COMPUTED_VALUE"""),"PCM")</f>
        <v>PCM</v>
      </c>
      <c r="N1661" s="19" t="str">
        <f>IFERROR(__xludf.DUMMYFUNCTION("""COMPUTED_VALUE"""),"PRIORIDAD 1 Q3 2023 OCTUBRE")</f>
        <v>PRIORIDAD 1 Q3 2023 OCTUBRE</v>
      </c>
    </row>
    <row r="1662" ht="15.75" customHeight="1">
      <c r="A1662" s="19" t="str">
        <f>IFERROR(__xludf.DUMMYFUNCTION("""COMPUTED_VALUE"""),"AB_8681")</f>
        <v>AB_8681</v>
      </c>
      <c r="B1662" s="19" t="str">
        <f>IFERROR(__xludf.DUMMYFUNCTION("""COMPUTED_VALUE"""),"AB_8681_B")</f>
        <v>AB_8681_B</v>
      </c>
      <c r="C1662" s="19" t="str">
        <f>IFERROR(__xludf.DUMMYFUNCTION("""COMPUTED_VALUE"""),"RM8681")</f>
        <v>RM8681</v>
      </c>
      <c r="D1662" s="19" t="str">
        <f>IFERROR(__xludf.DUMMYFUNCTION("""COMPUTED_VALUE"""),"Cerro Maipo")</f>
        <v>Cerro Maipo</v>
      </c>
      <c r="E1662" s="19" t="str">
        <f>IFERROR(__xludf.DUMMYFUNCTION("""COMPUTED_VALUE"""),"SITIO RFI")</f>
        <v>SITIO RFI</v>
      </c>
      <c r="F1662" s="19"/>
      <c r="G1662" s="19" t="str">
        <f>IFERROR(__xludf.DUMMYFUNCTION("""COMPUTED_VALUE"""),"x")</f>
        <v>x</v>
      </c>
      <c r="H1662" s="19" t="str">
        <f>IFERROR(__xludf.DUMMYFUNCTION("""COMPUTED_VALUE"""),"x")</f>
        <v>x</v>
      </c>
      <c r="I1662" s="19" t="str">
        <f>IFERROR(__xludf.DUMMYFUNCTION("""COMPUTED_VALUE"""),"x")</f>
        <v>x</v>
      </c>
      <c r="J1662" s="20" t="str">
        <f>IFERROR(__xludf.DUMMYFUNCTION("""COMPUTED_VALUE"""),"x")</f>
        <v>x</v>
      </c>
      <c r="K1662" s="19" t="str">
        <f>IFERROR(__xludf.DUMMYFUNCTION("""COMPUTED_VALUE"""),"x")</f>
        <v>x</v>
      </c>
      <c r="L1662" s="20" t="str">
        <f>IFERROR(__xludf.DUMMYFUNCTION("""COMPUTED_VALUE"""),"x")</f>
        <v>x</v>
      </c>
      <c r="M1662" s="19" t="str">
        <f>IFERROR(__xludf.DUMMYFUNCTION("""COMPUTED_VALUE"""),"PCM")</f>
        <v>PCM</v>
      </c>
      <c r="N1662" s="19" t="str">
        <f>IFERROR(__xludf.DUMMYFUNCTION("""COMPUTED_VALUE"""),"PRIORIDAD 1 Q3 2023 OCTUBRE")</f>
        <v>PRIORIDAD 1 Q3 2023 OCTUBRE</v>
      </c>
    </row>
    <row r="1663" ht="15.75" customHeight="1">
      <c r="A1663" s="19" t="str">
        <f>IFERROR(__xludf.DUMMYFUNCTION("""COMPUTED_VALUE"""),"AB_8766")</f>
        <v>AB_8766</v>
      </c>
      <c r="B1663" s="19" t="str">
        <f>IFERROR(__xludf.DUMMYFUNCTION("""COMPUTED_VALUE"""),"AB_8766_A")</f>
        <v>AB_8766_A</v>
      </c>
      <c r="C1663" s="19" t="str">
        <f>IFERROR(__xludf.DUMMYFUNCTION("""COMPUTED_VALUE"""),"RM8766")</f>
        <v>RM8766</v>
      </c>
      <c r="D1663" s="19" t="str">
        <f>IFERROR(__xludf.DUMMYFUNCTION("""COMPUTED_VALUE"""),"Costanera Poniente RU1")</f>
        <v>Costanera Poniente RU1</v>
      </c>
      <c r="E1663" s="19" t="str">
        <f>IFERROR(__xludf.DUMMYFUNCTION("""COMPUTED_VALUE"""),"SITIO RFI")</f>
        <v>SITIO RFI</v>
      </c>
      <c r="F1663" s="19"/>
      <c r="G1663" s="19" t="str">
        <f>IFERROR(__xludf.DUMMYFUNCTION("""COMPUTED_VALUE"""),"x")</f>
        <v>x</v>
      </c>
      <c r="H1663" s="19" t="str">
        <f>IFERROR(__xludf.DUMMYFUNCTION("""COMPUTED_VALUE"""),"x")</f>
        <v>x</v>
      </c>
      <c r="I1663" s="19" t="str">
        <f>IFERROR(__xludf.DUMMYFUNCTION("""COMPUTED_VALUE"""),"x")</f>
        <v>x</v>
      </c>
      <c r="J1663" s="20" t="str">
        <f>IFERROR(__xludf.DUMMYFUNCTION("""COMPUTED_VALUE"""),"x")</f>
        <v>x</v>
      </c>
      <c r="K1663" s="19" t="str">
        <f>IFERROR(__xludf.DUMMYFUNCTION("""COMPUTED_VALUE"""),"x")</f>
        <v>x</v>
      </c>
      <c r="L1663" s="20" t="str">
        <f>IFERROR(__xludf.DUMMYFUNCTION("""COMPUTED_VALUE"""),"x")</f>
        <v>x</v>
      </c>
      <c r="M1663" s="19" t="str">
        <f>IFERROR(__xludf.DUMMYFUNCTION("""COMPUTED_VALUE"""),"PCM")</f>
        <v>PCM</v>
      </c>
      <c r="N1663" s="19" t="str">
        <f>IFERROR(__xludf.DUMMYFUNCTION("""COMPUTED_VALUE"""),"PRIORIDAD 1 Q3 2023 OCTUBRE")</f>
        <v>PRIORIDAD 1 Q3 2023 OCTUBRE</v>
      </c>
    </row>
    <row r="1664" ht="15.75" customHeight="1">
      <c r="A1664" s="19" t="str">
        <f>IFERROR(__xludf.DUMMYFUNCTION("""COMPUTED_VALUE"""),"AB_8984")</f>
        <v>AB_8984</v>
      </c>
      <c r="B1664" s="19" t="str">
        <f>IFERROR(__xludf.DUMMYFUNCTION("""COMPUTED_VALUE"""),"AB_8984_C")</f>
        <v>AB_8984_C</v>
      </c>
      <c r="C1664" s="19" t="str">
        <f>IFERROR(__xludf.DUMMYFUNCTION("""COMPUTED_VALUE"""),"RM8984")</f>
        <v>RM8984</v>
      </c>
      <c r="D1664" s="19" t="str">
        <f>IFERROR(__xludf.DUMMYFUNCTION("""COMPUTED_VALUE"""),"San Jose de Maipo Norte")</f>
        <v>San Jose de Maipo Norte</v>
      </c>
      <c r="E1664" s="19" t="str">
        <f>IFERROR(__xludf.DUMMYFUNCTION("""COMPUTED_VALUE"""),"SITIO RFI")</f>
        <v>SITIO RFI</v>
      </c>
      <c r="F1664" s="19"/>
      <c r="G1664" s="19" t="str">
        <f>IFERROR(__xludf.DUMMYFUNCTION("""COMPUTED_VALUE"""),"x")</f>
        <v>x</v>
      </c>
      <c r="H1664" s="19" t="str">
        <f>IFERROR(__xludf.DUMMYFUNCTION("""COMPUTED_VALUE"""),"x")</f>
        <v>x</v>
      </c>
      <c r="I1664" s="19" t="str">
        <f>IFERROR(__xludf.DUMMYFUNCTION("""COMPUTED_VALUE"""),"x")</f>
        <v>x</v>
      </c>
      <c r="J1664" s="20" t="str">
        <f>IFERROR(__xludf.DUMMYFUNCTION("""COMPUTED_VALUE"""),"x")</f>
        <v>x</v>
      </c>
      <c r="K1664" s="19" t="str">
        <f>IFERROR(__xludf.DUMMYFUNCTION("""COMPUTED_VALUE"""),"x")</f>
        <v>x</v>
      </c>
      <c r="L1664" s="20" t="str">
        <f>IFERROR(__xludf.DUMMYFUNCTION("""COMPUTED_VALUE"""),"x")</f>
        <v>x</v>
      </c>
      <c r="M1664" s="19" t="str">
        <f>IFERROR(__xludf.DUMMYFUNCTION("""COMPUTED_VALUE"""),"PCM")</f>
        <v>PCM</v>
      </c>
      <c r="N1664" s="19" t="str">
        <f>IFERROR(__xludf.DUMMYFUNCTION("""COMPUTED_VALUE"""),"PRIORIDAD 1 Q3 2023 OCTUBRE")</f>
        <v>PRIORIDAD 1 Q3 2023 OCTUBRE</v>
      </c>
    </row>
    <row r="1665" ht="15.75" customHeight="1">
      <c r="A1665" s="19" t="str">
        <f>IFERROR(__xludf.DUMMYFUNCTION("""COMPUTED_VALUE"""),"AB_8990")</f>
        <v>AB_8990</v>
      </c>
      <c r="B1665" s="19" t="str">
        <f>IFERROR(__xludf.DUMMYFUNCTION("""COMPUTED_VALUE"""),"AB_8990_C")</f>
        <v>AB_8990_C</v>
      </c>
      <c r="C1665" s="19" t="str">
        <f>IFERROR(__xludf.DUMMYFUNCTION("""COMPUTED_VALUE"""),"RM8990")</f>
        <v>RM8990</v>
      </c>
      <c r="D1665" s="19" t="str">
        <f>IFERROR(__xludf.DUMMYFUNCTION("""COMPUTED_VALUE"""),"Los Peumos Sur")</f>
        <v>Los Peumos Sur</v>
      </c>
      <c r="E1665" s="19" t="str">
        <f>IFERROR(__xludf.DUMMYFUNCTION("""COMPUTED_VALUE"""),"SITIO RFI")</f>
        <v>SITIO RFI</v>
      </c>
      <c r="F1665" s="19"/>
      <c r="G1665" s="19" t="str">
        <f>IFERROR(__xludf.DUMMYFUNCTION("""COMPUTED_VALUE"""),"x")</f>
        <v>x</v>
      </c>
      <c r="H1665" s="19" t="str">
        <f>IFERROR(__xludf.DUMMYFUNCTION("""COMPUTED_VALUE"""),"x")</f>
        <v>x</v>
      </c>
      <c r="I1665" s="19" t="str">
        <f>IFERROR(__xludf.DUMMYFUNCTION("""COMPUTED_VALUE"""),"x")</f>
        <v>x</v>
      </c>
      <c r="J1665" s="20" t="str">
        <f>IFERROR(__xludf.DUMMYFUNCTION("""COMPUTED_VALUE"""),"x")</f>
        <v>x</v>
      </c>
      <c r="K1665" s="19" t="str">
        <f>IFERROR(__xludf.DUMMYFUNCTION("""COMPUTED_VALUE"""),"x")</f>
        <v>x</v>
      </c>
      <c r="L1665" s="20" t="str">
        <f>IFERROR(__xludf.DUMMYFUNCTION("""COMPUTED_VALUE"""),"x")</f>
        <v>x</v>
      </c>
      <c r="M1665" s="19" t="str">
        <f>IFERROR(__xludf.DUMMYFUNCTION("""COMPUTED_VALUE"""),"PCM")</f>
        <v>PCM</v>
      </c>
      <c r="N1665" s="19" t="str">
        <f>IFERROR(__xludf.DUMMYFUNCTION("""COMPUTED_VALUE"""),"PRIORIDAD 1 Q3 2023 OCTUBRE")</f>
        <v>PRIORIDAD 1 Q3 2023 OCTUBRE</v>
      </c>
    </row>
    <row r="1666" ht="15.75" customHeight="1">
      <c r="A1666" s="19" t="str">
        <f>IFERROR(__xludf.DUMMYFUNCTION("""COMPUTED_VALUE"""),"AB_8991")</f>
        <v>AB_8991</v>
      </c>
      <c r="B1666" s="19" t="str">
        <f>IFERROR(__xludf.DUMMYFUNCTION("""COMPUTED_VALUE"""),"AB_8991_C")</f>
        <v>AB_8991_C</v>
      </c>
      <c r="C1666" s="19" t="str">
        <f>IFERROR(__xludf.DUMMYFUNCTION("""COMPUTED_VALUE"""),"RM8991")</f>
        <v>RM8991</v>
      </c>
      <c r="D1666" s="19" t="str">
        <f>IFERROR(__xludf.DUMMYFUNCTION("""COMPUTED_VALUE"""),"Guayacan")</f>
        <v>Guayacan</v>
      </c>
      <c r="E1666" s="19" t="str">
        <f>IFERROR(__xludf.DUMMYFUNCTION("""COMPUTED_VALUE"""),"SITIO RFI")</f>
        <v>SITIO RFI</v>
      </c>
      <c r="F1666" s="19"/>
      <c r="G1666" s="19" t="str">
        <f>IFERROR(__xludf.DUMMYFUNCTION("""COMPUTED_VALUE"""),"x")</f>
        <v>x</v>
      </c>
      <c r="H1666" s="19" t="str">
        <f>IFERROR(__xludf.DUMMYFUNCTION("""COMPUTED_VALUE"""),"x")</f>
        <v>x</v>
      </c>
      <c r="I1666" s="19" t="str">
        <f>IFERROR(__xludf.DUMMYFUNCTION("""COMPUTED_VALUE"""),"x")</f>
        <v>x</v>
      </c>
      <c r="J1666" s="20" t="str">
        <f>IFERROR(__xludf.DUMMYFUNCTION("""COMPUTED_VALUE"""),"x")</f>
        <v>x</v>
      </c>
      <c r="K1666" s="19" t="str">
        <f>IFERROR(__xludf.DUMMYFUNCTION("""COMPUTED_VALUE"""),"x")</f>
        <v>x</v>
      </c>
      <c r="L1666" s="20" t="str">
        <f>IFERROR(__xludf.DUMMYFUNCTION("""COMPUTED_VALUE"""),"x")</f>
        <v>x</v>
      </c>
      <c r="M1666" s="19" t="str">
        <f>IFERROR(__xludf.DUMMYFUNCTION("""COMPUTED_VALUE"""),"PCM")</f>
        <v>PCM</v>
      </c>
      <c r="N1666" s="19" t="str">
        <f>IFERROR(__xludf.DUMMYFUNCTION("""COMPUTED_VALUE"""),"PRIORIDAD 1 Q3 2023 OCTUBRE")</f>
        <v>PRIORIDAD 1 Q3 2023 OCTUBRE</v>
      </c>
    </row>
    <row r="1667" ht="15.75" customHeight="1">
      <c r="A1667" s="19" t="str">
        <f>IFERROR(__xludf.DUMMYFUNCTION("""COMPUTED_VALUE"""),"AB_8992")</f>
        <v>AB_8992</v>
      </c>
      <c r="B1667" s="19" t="str">
        <f>IFERROR(__xludf.DUMMYFUNCTION("""COMPUTED_VALUE"""),"AB_8992_B")</f>
        <v>AB_8992_B</v>
      </c>
      <c r="C1667" s="19" t="str">
        <f>IFERROR(__xludf.DUMMYFUNCTION("""COMPUTED_VALUE"""),"RM8992")</f>
        <v>RM8992</v>
      </c>
      <c r="D1667" s="19" t="str">
        <f>IFERROR(__xludf.DUMMYFUNCTION("""COMPUTED_VALUE"""),"Le Petit France")</f>
        <v>Le Petit France</v>
      </c>
      <c r="E1667" s="19" t="str">
        <f>IFERROR(__xludf.DUMMYFUNCTION("""COMPUTED_VALUE"""),"SITIO RFI")</f>
        <v>SITIO RFI</v>
      </c>
      <c r="F1667" s="19"/>
      <c r="G1667" s="19" t="str">
        <f>IFERROR(__xludf.DUMMYFUNCTION("""COMPUTED_VALUE"""),"x")</f>
        <v>x</v>
      </c>
      <c r="H1667" s="19" t="str">
        <f>IFERROR(__xludf.DUMMYFUNCTION("""COMPUTED_VALUE"""),"x")</f>
        <v>x</v>
      </c>
      <c r="I1667" s="19" t="str">
        <f>IFERROR(__xludf.DUMMYFUNCTION("""COMPUTED_VALUE"""),"x")</f>
        <v>x</v>
      </c>
      <c r="J1667" s="20" t="str">
        <f>IFERROR(__xludf.DUMMYFUNCTION("""COMPUTED_VALUE"""),"x")</f>
        <v>x</v>
      </c>
      <c r="K1667" s="19" t="str">
        <f>IFERROR(__xludf.DUMMYFUNCTION("""COMPUTED_VALUE"""),"x")</f>
        <v>x</v>
      </c>
      <c r="L1667" s="20" t="str">
        <f>IFERROR(__xludf.DUMMYFUNCTION("""COMPUTED_VALUE"""),"x")</f>
        <v>x</v>
      </c>
      <c r="M1667" s="19" t="str">
        <f>IFERROR(__xludf.DUMMYFUNCTION("""COMPUTED_VALUE"""),"PCM")</f>
        <v>PCM</v>
      </c>
      <c r="N1667" s="19" t="str">
        <f>IFERROR(__xludf.DUMMYFUNCTION("""COMPUTED_VALUE"""),"PRIORIDAD 1 Q3 2023 OCTUBRE")</f>
        <v>PRIORIDAD 1 Q3 2023 OCTUBRE</v>
      </c>
    </row>
    <row r="1668" ht="15.75" customHeight="1">
      <c r="A1668" s="19" t="str">
        <f>IFERROR(__xludf.DUMMYFUNCTION("""COMPUTED_VALUE"""),"AB_8994")</f>
        <v>AB_8994</v>
      </c>
      <c r="B1668" s="19" t="str">
        <f>IFERROR(__xludf.DUMMYFUNCTION("""COMPUTED_VALUE"""),"AB_8994_B")</f>
        <v>AB_8994_B</v>
      </c>
      <c r="C1668" s="19" t="str">
        <f>IFERROR(__xludf.DUMMYFUNCTION("""COMPUTED_VALUE"""),"RM8994")</f>
        <v>RM8994</v>
      </c>
      <c r="D1668" s="19" t="str">
        <f>IFERROR(__xludf.DUMMYFUNCTION("""COMPUTED_VALUE"""),"San Jose de Maipo Sur")</f>
        <v>San Jose de Maipo Sur</v>
      </c>
      <c r="E1668" s="19" t="str">
        <f>IFERROR(__xludf.DUMMYFUNCTION("""COMPUTED_VALUE"""),"SITIO RFI")</f>
        <v>SITIO RFI</v>
      </c>
      <c r="F1668" s="19"/>
      <c r="G1668" s="19" t="str">
        <f>IFERROR(__xludf.DUMMYFUNCTION("""COMPUTED_VALUE"""),"x")</f>
        <v>x</v>
      </c>
      <c r="H1668" s="19" t="str">
        <f>IFERROR(__xludf.DUMMYFUNCTION("""COMPUTED_VALUE"""),"x")</f>
        <v>x</v>
      </c>
      <c r="I1668" s="19" t="str">
        <f>IFERROR(__xludf.DUMMYFUNCTION("""COMPUTED_VALUE"""),"x")</f>
        <v>x</v>
      </c>
      <c r="J1668" s="20" t="str">
        <f>IFERROR(__xludf.DUMMYFUNCTION("""COMPUTED_VALUE"""),"x")</f>
        <v>x</v>
      </c>
      <c r="K1668" s="19" t="str">
        <f>IFERROR(__xludf.DUMMYFUNCTION("""COMPUTED_VALUE"""),"x")</f>
        <v>x</v>
      </c>
      <c r="L1668" s="20" t="str">
        <f>IFERROR(__xludf.DUMMYFUNCTION("""COMPUTED_VALUE"""),"x")</f>
        <v>x</v>
      </c>
      <c r="M1668" s="19" t="str">
        <f>IFERROR(__xludf.DUMMYFUNCTION("""COMPUTED_VALUE"""),"PCM")</f>
        <v>PCM</v>
      </c>
      <c r="N1668" s="19" t="str">
        <f>IFERROR(__xludf.DUMMYFUNCTION("""COMPUTED_VALUE"""),"PRIORIDAD 1 Q3 2023 OCTUBRE")</f>
        <v>PRIORIDAD 1 Q3 2023 OCTUBRE</v>
      </c>
    </row>
    <row r="1669" ht="15.75" customHeight="1">
      <c r="A1669" s="19" t="str">
        <f>IFERROR(__xludf.DUMMYFUNCTION("""COMPUTED_VALUE"""),"AB_8997")</f>
        <v>AB_8997</v>
      </c>
      <c r="B1669" s="19" t="str">
        <f>IFERROR(__xludf.DUMMYFUNCTION("""COMPUTED_VALUE"""),"AB_8997_A")</f>
        <v>AB_8997_A</v>
      </c>
      <c r="C1669" s="19" t="str">
        <f>IFERROR(__xludf.DUMMYFUNCTION("""COMPUTED_VALUE"""),"RM8997")</f>
        <v>RM8997</v>
      </c>
      <c r="D1669" s="19" t="str">
        <f>IFERROR(__xludf.DUMMYFUNCTION("""COMPUTED_VALUE"""),"Eyzaguirre Puente Alto RU1")</f>
        <v>Eyzaguirre Puente Alto RU1</v>
      </c>
      <c r="E1669" s="19" t="str">
        <f>IFERROR(__xludf.DUMMYFUNCTION("""COMPUTED_VALUE"""),"SITIO RFI")</f>
        <v>SITIO RFI</v>
      </c>
      <c r="F1669" s="19"/>
      <c r="G1669" s="19" t="str">
        <f>IFERROR(__xludf.DUMMYFUNCTION("""COMPUTED_VALUE"""),"x")</f>
        <v>x</v>
      </c>
      <c r="H1669" s="19" t="str">
        <f>IFERROR(__xludf.DUMMYFUNCTION("""COMPUTED_VALUE"""),"x")</f>
        <v>x</v>
      </c>
      <c r="I1669" s="19" t="str">
        <f>IFERROR(__xludf.DUMMYFUNCTION("""COMPUTED_VALUE"""),"x")</f>
        <v>x</v>
      </c>
      <c r="J1669" s="20" t="str">
        <f>IFERROR(__xludf.DUMMYFUNCTION("""COMPUTED_VALUE"""),"x")</f>
        <v>x</v>
      </c>
      <c r="K1669" s="19" t="str">
        <f>IFERROR(__xludf.DUMMYFUNCTION("""COMPUTED_VALUE"""),"x")</f>
        <v>x</v>
      </c>
      <c r="L1669" s="20" t="str">
        <f>IFERROR(__xludf.DUMMYFUNCTION("""COMPUTED_VALUE"""),"x")</f>
        <v>x</v>
      </c>
      <c r="M1669" s="19" t="str">
        <f>IFERROR(__xludf.DUMMYFUNCTION("""COMPUTED_VALUE"""),"PCM")</f>
        <v>PCM</v>
      </c>
      <c r="N1669" s="19" t="str">
        <f>IFERROR(__xludf.DUMMYFUNCTION("""COMPUTED_VALUE"""),"PRIORIDAD 1 Q3 2023 OCTUBRE")</f>
        <v>PRIORIDAD 1 Q3 2023 OCTUBRE</v>
      </c>
    </row>
    <row r="1670" ht="15.75" customHeight="1">
      <c r="A1670" s="19" t="str">
        <f>IFERROR(__xludf.DUMMYFUNCTION("""COMPUTED_VALUE"""),"AB_9015")</f>
        <v>AB_9015</v>
      </c>
      <c r="B1670" s="19" t="str">
        <f>IFERROR(__xludf.DUMMYFUNCTION("""COMPUTED_VALUE"""),"AB_9015_E")</f>
        <v>AB_9015_E</v>
      </c>
      <c r="C1670" s="19" t="str">
        <f>IFERROR(__xludf.DUMMYFUNCTION("""COMPUTED_VALUE"""),"RM9015")</f>
        <v>RM9015</v>
      </c>
      <c r="D1670" s="19" t="str">
        <f>IFERROR(__xludf.DUMMYFUNCTION("""COMPUTED_VALUE"""),"JM Caro Sector B")</f>
        <v>JM Caro Sector B</v>
      </c>
      <c r="E1670" s="19" t="str">
        <f>IFERROR(__xludf.DUMMYFUNCTION("""COMPUTED_VALUE"""),"SITIO RFI")</f>
        <v>SITIO RFI</v>
      </c>
      <c r="F1670" s="19"/>
      <c r="G1670" s="19" t="str">
        <f>IFERROR(__xludf.DUMMYFUNCTION("""COMPUTED_VALUE"""),"x")</f>
        <v>x</v>
      </c>
      <c r="H1670" s="19" t="str">
        <f>IFERROR(__xludf.DUMMYFUNCTION("""COMPUTED_VALUE"""),"x")</f>
        <v>x</v>
      </c>
      <c r="I1670" s="19" t="str">
        <f>IFERROR(__xludf.DUMMYFUNCTION("""COMPUTED_VALUE"""),"x")</f>
        <v>x</v>
      </c>
      <c r="J1670" s="20" t="str">
        <f>IFERROR(__xludf.DUMMYFUNCTION("""COMPUTED_VALUE"""),"x")</f>
        <v>x</v>
      </c>
      <c r="K1670" s="19" t="str">
        <f>IFERROR(__xludf.DUMMYFUNCTION("""COMPUTED_VALUE"""),"x")</f>
        <v>x</v>
      </c>
      <c r="L1670" s="20" t="str">
        <f>IFERROR(__xludf.DUMMYFUNCTION("""COMPUTED_VALUE"""),"x")</f>
        <v>x</v>
      </c>
      <c r="M1670" s="19" t="str">
        <f>IFERROR(__xludf.DUMMYFUNCTION("""COMPUTED_VALUE"""),"PCM")</f>
        <v>PCM</v>
      </c>
      <c r="N1670" s="19" t="str">
        <f>IFERROR(__xludf.DUMMYFUNCTION("""COMPUTED_VALUE"""),"PRIORIDAD 1 Q3 2023 OCTUBRE")</f>
        <v>PRIORIDAD 1 Q3 2023 OCTUBRE</v>
      </c>
    </row>
    <row r="1671" ht="15.75" customHeight="1">
      <c r="A1671" s="19" t="str">
        <f>IFERROR(__xludf.DUMMYFUNCTION("""COMPUTED_VALUE"""),"AB_9099")</f>
        <v>AB_9099</v>
      </c>
      <c r="B1671" s="19" t="str">
        <f>IFERROR(__xludf.DUMMYFUNCTION("""COMPUTED_VALUE"""),"AB_9099_B")</f>
        <v>AB_9099_B</v>
      </c>
      <c r="C1671" s="19" t="str">
        <f>IFERROR(__xludf.DUMMYFUNCTION("""COMPUTED_VALUE"""),"RM9099")</f>
        <v>RM9099</v>
      </c>
      <c r="D1671" s="19" t="str">
        <f>IFERROR(__xludf.DUMMYFUNCTION("""COMPUTED_VALUE"""),"Gruta de Lourdes RU2")</f>
        <v>Gruta de Lourdes RU2</v>
      </c>
      <c r="E1671" s="19" t="str">
        <f>IFERROR(__xludf.DUMMYFUNCTION("""COMPUTED_VALUE"""),"SITIO RFI")</f>
        <v>SITIO RFI</v>
      </c>
      <c r="F1671" s="19"/>
      <c r="G1671" s="19" t="str">
        <f>IFERROR(__xludf.DUMMYFUNCTION("""COMPUTED_VALUE"""),"x")</f>
        <v>x</v>
      </c>
      <c r="H1671" s="19" t="str">
        <f>IFERROR(__xludf.DUMMYFUNCTION("""COMPUTED_VALUE"""),"x")</f>
        <v>x</v>
      </c>
      <c r="I1671" s="19" t="str">
        <f>IFERROR(__xludf.DUMMYFUNCTION("""COMPUTED_VALUE"""),"x")</f>
        <v>x</v>
      </c>
      <c r="J1671" s="20" t="str">
        <f>IFERROR(__xludf.DUMMYFUNCTION("""COMPUTED_VALUE"""),"x")</f>
        <v>x</v>
      </c>
      <c r="K1671" s="19" t="str">
        <f>IFERROR(__xludf.DUMMYFUNCTION("""COMPUTED_VALUE"""),"x")</f>
        <v>x</v>
      </c>
      <c r="L1671" s="20" t="str">
        <f>IFERROR(__xludf.DUMMYFUNCTION("""COMPUTED_VALUE"""),"x")</f>
        <v>x</v>
      </c>
      <c r="M1671" s="19" t="str">
        <f>IFERROR(__xludf.DUMMYFUNCTION("""COMPUTED_VALUE"""),"PCM")</f>
        <v>PCM</v>
      </c>
      <c r="N1671" s="19" t="str">
        <f>IFERROR(__xludf.DUMMYFUNCTION("""COMPUTED_VALUE"""),"PRIORIDAD 1 Q3 2023 OCTUBRE")</f>
        <v>PRIORIDAD 1 Q3 2023 OCTUBRE</v>
      </c>
    </row>
    <row r="1672" ht="15.75" customHeight="1">
      <c r="A1672" s="19" t="str">
        <f>IFERROR(__xludf.DUMMYFUNCTION("""COMPUTED_VALUE"""),"AB_9345")</f>
        <v>AB_9345</v>
      </c>
      <c r="B1672" s="19" t="str">
        <f>IFERROR(__xludf.DUMMYFUNCTION("""COMPUTED_VALUE"""),"AB_9345_A")</f>
        <v>AB_9345_A</v>
      </c>
      <c r="C1672" s="19" t="str">
        <f>IFERROR(__xludf.DUMMYFUNCTION("""COMPUTED_VALUE"""),"RM9345")</f>
        <v>RM9345</v>
      </c>
      <c r="D1672" s="19" t="str">
        <f>IFERROR(__xludf.DUMMYFUNCTION("""COMPUTED_VALUE"""),"Las Torres RU")</f>
        <v>Las Torres RU</v>
      </c>
      <c r="E1672" s="19" t="str">
        <f>IFERROR(__xludf.DUMMYFUNCTION("""COMPUTED_VALUE"""),"SITIO RFI")</f>
        <v>SITIO RFI</v>
      </c>
      <c r="F1672" s="19"/>
      <c r="G1672" s="19" t="str">
        <f>IFERROR(__xludf.DUMMYFUNCTION("""COMPUTED_VALUE"""),"x")</f>
        <v>x</v>
      </c>
      <c r="H1672" s="19" t="str">
        <f>IFERROR(__xludf.DUMMYFUNCTION("""COMPUTED_VALUE"""),"x")</f>
        <v>x</v>
      </c>
      <c r="I1672" s="19" t="str">
        <f>IFERROR(__xludf.DUMMYFUNCTION("""COMPUTED_VALUE"""),"x")</f>
        <v>x</v>
      </c>
      <c r="J1672" s="20" t="str">
        <f>IFERROR(__xludf.DUMMYFUNCTION("""COMPUTED_VALUE"""),"x")</f>
        <v>x</v>
      </c>
      <c r="K1672" s="19" t="str">
        <f>IFERROR(__xludf.DUMMYFUNCTION("""COMPUTED_VALUE"""),"x")</f>
        <v>x</v>
      </c>
      <c r="L1672" s="20" t="str">
        <f>IFERROR(__xludf.DUMMYFUNCTION("""COMPUTED_VALUE"""),"x")</f>
        <v>x</v>
      </c>
      <c r="M1672" s="19" t="str">
        <f>IFERROR(__xludf.DUMMYFUNCTION("""COMPUTED_VALUE"""),"PCM")</f>
        <v>PCM</v>
      </c>
      <c r="N1672" s="19" t="str">
        <f>IFERROR(__xludf.DUMMYFUNCTION("""COMPUTED_VALUE"""),"PRIORIDAD 1 Q3 2023 OCTUBRE")</f>
        <v>PRIORIDAD 1 Q3 2023 OCTUBRE</v>
      </c>
    </row>
    <row r="1673" ht="15.75" customHeight="1">
      <c r="A1673" s="19" t="str">
        <f>IFERROR(__xludf.DUMMYFUNCTION("""COMPUTED_VALUE"""),"AB_11483")</f>
        <v>AB_11483</v>
      </c>
      <c r="B1673" s="19" t="str">
        <f>IFERROR(__xludf.DUMMYFUNCTION("""COMPUTED_VALUE"""),"AB_11483_A")</f>
        <v>AB_11483_A</v>
      </c>
      <c r="C1673" s="19" t="str">
        <f>IFERROR(__xludf.DUMMYFUNCTION("""COMPUTED_VALUE"""),"TA11483")</f>
        <v>TA11483</v>
      </c>
      <c r="D1673" s="19" t="str">
        <f>IFERROR(__xludf.DUMMYFUNCTION("""COMPUTED_VALUE"""),"Alto Hospicio Consultorio Pulgar RU")</f>
        <v>Alto Hospicio Consultorio Pulgar RU</v>
      </c>
      <c r="E1673" s="19" t="str">
        <f>IFERROR(__xludf.DUMMYFUNCTION("""COMPUTED_VALUE"""),"SITIO RFI")</f>
        <v>SITIO RFI</v>
      </c>
      <c r="F1673" s="19"/>
      <c r="G1673" s="19" t="str">
        <f>IFERROR(__xludf.DUMMYFUNCTION("""COMPUTED_VALUE"""),"x")</f>
        <v>x</v>
      </c>
      <c r="H1673" s="19" t="str">
        <f>IFERROR(__xludf.DUMMYFUNCTION("""COMPUTED_VALUE"""),"x")</f>
        <v>x</v>
      </c>
      <c r="I1673" s="19" t="str">
        <f>IFERROR(__xludf.DUMMYFUNCTION("""COMPUTED_VALUE"""),"x")</f>
        <v>x</v>
      </c>
      <c r="J1673" s="20" t="str">
        <f>IFERROR(__xludf.DUMMYFUNCTION("""COMPUTED_VALUE"""),"x")</f>
        <v>x</v>
      </c>
      <c r="K1673" s="19" t="str">
        <f>IFERROR(__xludf.DUMMYFUNCTION("""COMPUTED_VALUE"""),"x")</f>
        <v>x</v>
      </c>
      <c r="L1673" s="20" t="str">
        <f>IFERROR(__xludf.DUMMYFUNCTION("""COMPUTED_VALUE"""),"x")</f>
        <v>x</v>
      </c>
      <c r="M1673" s="19" t="str">
        <f>IFERROR(__xludf.DUMMYFUNCTION("""COMPUTED_VALUE"""),"PCM_4")</f>
        <v>PCM_4</v>
      </c>
      <c r="N1673" s="19" t="str">
        <f>IFERROR(__xludf.DUMMYFUNCTION("""COMPUTED_VALUE"""),"PRIORIDAD 3 Q1 2024 MARZO")</f>
        <v>PRIORIDAD 3 Q1 2024 MARZO</v>
      </c>
    </row>
    <row r="1674" ht="15.75" customHeight="1">
      <c r="A1674" s="19" t="str">
        <f>IFERROR(__xludf.DUMMYFUNCTION("""COMPUTED_VALUE"""),"AB_5120")</f>
        <v>AB_5120</v>
      </c>
      <c r="B1674" s="19" t="str">
        <f>IFERROR(__xludf.DUMMYFUNCTION("""COMPUTED_VALUE"""),"AB_5120_C")</f>
        <v>AB_5120_C</v>
      </c>
      <c r="C1674" s="19" t="str">
        <f>IFERROR(__xludf.DUMMYFUNCTION("""COMPUTED_VALUE"""),"TA5120")</f>
        <v>TA5120</v>
      </c>
      <c r="D1674" s="19" t="str">
        <f>IFERROR(__xludf.DUMMYFUNCTION("""COMPUTED_VALUE"""),"Iquique Hospital Poniente")</f>
        <v>Iquique Hospital Poniente</v>
      </c>
      <c r="E1674" s="19" t="str">
        <f>IFERROR(__xludf.DUMMYFUNCTION("""COMPUTED_VALUE"""),"SITIO RFI")</f>
        <v>SITIO RFI</v>
      </c>
      <c r="F1674" s="19"/>
      <c r="G1674" s="19" t="str">
        <f>IFERROR(__xludf.DUMMYFUNCTION("""COMPUTED_VALUE"""),"x")</f>
        <v>x</v>
      </c>
      <c r="H1674" s="19" t="str">
        <f>IFERROR(__xludf.DUMMYFUNCTION("""COMPUTED_VALUE"""),"x")</f>
        <v>x</v>
      </c>
      <c r="I1674" s="19" t="str">
        <f>IFERROR(__xludf.DUMMYFUNCTION("""COMPUTED_VALUE"""),"x")</f>
        <v>x</v>
      </c>
      <c r="J1674" s="20" t="str">
        <f>IFERROR(__xludf.DUMMYFUNCTION("""COMPUTED_VALUE"""),"x")</f>
        <v>x</v>
      </c>
      <c r="K1674" s="19" t="str">
        <f>IFERROR(__xludf.DUMMYFUNCTION("""COMPUTED_VALUE"""),"x")</f>
        <v>x</v>
      </c>
      <c r="L1674" s="20" t="str">
        <f>IFERROR(__xludf.DUMMYFUNCTION("""COMPUTED_VALUE"""),"x")</f>
        <v>x</v>
      </c>
      <c r="M1674" s="19" t="str">
        <f>IFERROR(__xludf.DUMMYFUNCTION("""COMPUTED_VALUE"""),"PCM")</f>
        <v>PCM</v>
      </c>
      <c r="N1674" s="19" t="str">
        <f>IFERROR(__xludf.DUMMYFUNCTION("""COMPUTED_VALUE"""),"PRIORIDAD 1 Q3 2023 OCTUBRE")</f>
        <v>PRIORIDAD 1 Q3 2023 OCTUBRE</v>
      </c>
    </row>
    <row r="1675" ht="15.75" customHeight="1">
      <c r="A1675" s="19" t="str">
        <f>IFERROR(__xludf.DUMMYFUNCTION("""COMPUTED_VALUE"""),"AB_7192")</f>
        <v>AB_7192</v>
      </c>
      <c r="B1675" s="19" t="str">
        <f>IFERROR(__xludf.DUMMYFUNCTION("""COMPUTED_VALUE"""),"AB_7192_D")</f>
        <v>AB_7192_D</v>
      </c>
      <c r="C1675" s="19" t="str">
        <f>IFERROR(__xludf.DUMMYFUNCTION("""COMPUTED_VALUE"""),"TA7192")</f>
        <v>TA7192</v>
      </c>
      <c r="D1675" s="19" t="str">
        <f>IFERROR(__xludf.DUMMYFUNCTION("""COMPUTED_VALUE"""),"Iquique Playa Brava RU")</f>
        <v>Iquique Playa Brava RU</v>
      </c>
      <c r="E1675" s="19" t="str">
        <f>IFERROR(__xludf.DUMMYFUNCTION("""COMPUTED_VALUE"""),"SITIO RFI")</f>
        <v>SITIO RFI</v>
      </c>
      <c r="F1675" s="19"/>
      <c r="G1675" s="19" t="str">
        <f>IFERROR(__xludf.DUMMYFUNCTION("""COMPUTED_VALUE"""),"x")</f>
        <v>x</v>
      </c>
      <c r="H1675" s="19" t="str">
        <f>IFERROR(__xludf.DUMMYFUNCTION("""COMPUTED_VALUE"""),"x")</f>
        <v>x</v>
      </c>
      <c r="I1675" s="19" t="str">
        <f>IFERROR(__xludf.DUMMYFUNCTION("""COMPUTED_VALUE"""),"x")</f>
        <v>x</v>
      </c>
      <c r="J1675" s="20" t="str">
        <f>IFERROR(__xludf.DUMMYFUNCTION("""COMPUTED_VALUE"""),"x")</f>
        <v>x</v>
      </c>
      <c r="K1675" s="19" t="str">
        <f>IFERROR(__xludf.DUMMYFUNCTION("""COMPUTED_VALUE"""),"x")</f>
        <v>x</v>
      </c>
      <c r="L1675" s="20" t="str">
        <f>IFERROR(__xludf.DUMMYFUNCTION("""COMPUTED_VALUE"""),"x")</f>
        <v>x</v>
      </c>
      <c r="M1675" s="19" t="str">
        <f>IFERROR(__xludf.DUMMYFUNCTION("""COMPUTED_VALUE"""),"PCM")</f>
        <v>PCM</v>
      </c>
      <c r="N1675" s="19" t="str">
        <f>IFERROR(__xludf.DUMMYFUNCTION("""COMPUTED_VALUE"""),"PRIORIDAD 1 Q3 2023 OCTUBRE")</f>
        <v>PRIORIDAD 1 Q3 2023 OCTUBRE</v>
      </c>
    </row>
    <row r="1676" ht="15.75" customHeight="1">
      <c r="A1676" s="19" t="str">
        <f>IFERROR(__xludf.DUMMYFUNCTION("""COMPUTED_VALUE"""),"AB_0243")</f>
        <v>AB_0243</v>
      </c>
      <c r="B1676" s="19" t="str">
        <f>IFERROR(__xludf.DUMMYFUNCTION("""COMPUTED_VALUE"""),"AB_0243_N")</f>
        <v>AB_0243_N</v>
      </c>
      <c r="C1676" s="19" t="str">
        <f>IFERROR(__xludf.DUMMYFUNCTION("""COMPUTED_VALUE"""),"VA0243")</f>
        <v>VA0243</v>
      </c>
      <c r="D1676" s="19" t="str">
        <f>IFERROR(__xludf.DUMMYFUNCTION("""COMPUTED_VALUE"""),"Rogelio Astudillo")</f>
        <v>Rogelio Astudillo</v>
      </c>
      <c r="E1676" s="19" t="str">
        <f>IFERROR(__xludf.DUMMYFUNCTION("""COMPUTED_VALUE"""),"SITIO RFI")</f>
        <v>SITIO RFI</v>
      </c>
      <c r="F1676" s="19"/>
      <c r="G1676" s="19" t="str">
        <f>IFERROR(__xludf.DUMMYFUNCTION("""COMPUTED_VALUE"""),"x")</f>
        <v>x</v>
      </c>
      <c r="H1676" s="19" t="str">
        <f>IFERROR(__xludf.DUMMYFUNCTION("""COMPUTED_VALUE"""),"x")</f>
        <v>x</v>
      </c>
      <c r="I1676" s="19" t="str">
        <f>IFERROR(__xludf.DUMMYFUNCTION("""COMPUTED_VALUE"""),"x")</f>
        <v>x</v>
      </c>
      <c r="J1676" s="20" t="str">
        <f>IFERROR(__xludf.DUMMYFUNCTION("""COMPUTED_VALUE"""),"x")</f>
        <v>x</v>
      </c>
      <c r="K1676" s="19" t="str">
        <f>IFERROR(__xludf.DUMMYFUNCTION("""COMPUTED_VALUE"""),"x")</f>
        <v>x</v>
      </c>
      <c r="L1676" s="20" t="str">
        <f>IFERROR(__xludf.DUMMYFUNCTION("""COMPUTED_VALUE"""),"x")</f>
        <v>x</v>
      </c>
      <c r="M1676" s="19" t="str">
        <f>IFERROR(__xludf.DUMMYFUNCTION("""COMPUTED_VALUE"""),"PCM")</f>
        <v>PCM</v>
      </c>
      <c r="N1676" s="19" t="str">
        <f>IFERROR(__xludf.DUMMYFUNCTION("""COMPUTED_VALUE"""),"PRIORIDAD 1 Q3 2023 OCTUBRE")</f>
        <v>PRIORIDAD 1 Q3 2023 OCTUBRE</v>
      </c>
    </row>
    <row r="1677" ht="15.75" customHeight="1">
      <c r="A1677" s="19" t="str">
        <f>IFERROR(__xludf.DUMMYFUNCTION("""COMPUTED_VALUE"""),"AB_0400")</f>
        <v>AB_0400</v>
      </c>
      <c r="B1677" s="19" t="str">
        <f>IFERROR(__xludf.DUMMYFUNCTION("""COMPUTED_VALUE"""),"AB_0400_I")</f>
        <v>AB_0400_I</v>
      </c>
      <c r="C1677" s="19" t="str">
        <f>IFERROR(__xludf.DUMMYFUNCTION("""COMPUTED_VALUE"""),"VA0400")</f>
        <v>VA0400</v>
      </c>
      <c r="D1677" s="19" t="str">
        <f>IFERROR(__xludf.DUMMYFUNCTION("""COMPUTED_VALUE"""),"Las Azucenas")</f>
        <v>Las Azucenas</v>
      </c>
      <c r="E1677" s="19" t="str">
        <f>IFERROR(__xludf.DUMMYFUNCTION("""COMPUTED_VALUE"""),"SITIO RFI")</f>
        <v>SITIO RFI</v>
      </c>
      <c r="F1677" s="19"/>
      <c r="G1677" s="19" t="str">
        <f>IFERROR(__xludf.DUMMYFUNCTION("""COMPUTED_VALUE"""),"x")</f>
        <v>x</v>
      </c>
      <c r="H1677" s="19" t="str">
        <f>IFERROR(__xludf.DUMMYFUNCTION("""COMPUTED_VALUE"""),"x")</f>
        <v>x</v>
      </c>
      <c r="I1677" s="19" t="str">
        <f>IFERROR(__xludf.DUMMYFUNCTION("""COMPUTED_VALUE"""),"x")</f>
        <v>x</v>
      </c>
      <c r="J1677" s="20" t="str">
        <f>IFERROR(__xludf.DUMMYFUNCTION("""COMPUTED_VALUE"""),"x")</f>
        <v>x</v>
      </c>
      <c r="K1677" s="19" t="str">
        <f>IFERROR(__xludf.DUMMYFUNCTION("""COMPUTED_VALUE"""),"x")</f>
        <v>x</v>
      </c>
      <c r="L1677" s="20" t="str">
        <f>IFERROR(__xludf.DUMMYFUNCTION("""COMPUTED_VALUE"""),"x")</f>
        <v>x</v>
      </c>
      <c r="M1677" s="19" t="str">
        <f>IFERROR(__xludf.DUMMYFUNCTION("""COMPUTED_VALUE"""),"PCM")</f>
        <v>PCM</v>
      </c>
      <c r="N1677" s="19" t="str">
        <f>IFERROR(__xludf.DUMMYFUNCTION("""COMPUTED_VALUE"""),"PRIORIDAD 1 Q3 2023 OCTUBRE")</f>
        <v>PRIORIDAD 1 Q3 2023 OCTUBRE</v>
      </c>
    </row>
    <row r="1678" ht="15.75" customHeight="1">
      <c r="A1678" s="19" t="str">
        <f>IFERROR(__xludf.DUMMYFUNCTION("""COMPUTED_VALUE"""),"AB_0480")</f>
        <v>AB_0480</v>
      </c>
      <c r="B1678" s="19" t="str">
        <f>IFERROR(__xludf.DUMMYFUNCTION("""COMPUTED_VALUE"""),"AB_0480_C")</f>
        <v>AB_0480_C</v>
      </c>
      <c r="C1678" s="19" t="str">
        <f>IFERROR(__xludf.DUMMYFUNCTION("""COMPUTED_VALUE"""),"VA0480")</f>
        <v>VA0480</v>
      </c>
      <c r="D1678" s="19" t="str">
        <f>IFERROR(__xludf.DUMMYFUNCTION("""COMPUTED_VALUE"""),"Playa San Mateo")</f>
        <v>Playa San Mateo</v>
      </c>
      <c r="E1678" s="19" t="str">
        <f>IFERROR(__xludf.DUMMYFUNCTION("""COMPUTED_VALUE"""),"SITIO RFI")</f>
        <v>SITIO RFI</v>
      </c>
      <c r="F1678" s="19"/>
      <c r="G1678" s="19" t="str">
        <f>IFERROR(__xludf.DUMMYFUNCTION("""COMPUTED_VALUE"""),"x")</f>
        <v>x</v>
      </c>
      <c r="H1678" s="19" t="str">
        <f>IFERROR(__xludf.DUMMYFUNCTION("""COMPUTED_VALUE"""),"x")</f>
        <v>x</v>
      </c>
      <c r="I1678" s="19" t="str">
        <f>IFERROR(__xludf.DUMMYFUNCTION("""COMPUTED_VALUE"""),"x")</f>
        <v>x</v>
      </c>
      <c r="J1678" s="20" t="str">
        <f>IFERROR(__xludf.DUMMYFUNCTION("""COMPUTED_VALUE"""),"x")</f>
        <v>x</v>
      </c>
      <c r="K1678" s="19" t="str">
        <f>IFERROR(__xludf.DUMMYFUNCTION("""COMPUTED_VALUE"""),"x")</f>
        <v>x</v>
      </c>
      <c r="L1678" s="20" t="str">
        <f>IFERROR(__xludf.DUMMYFUNCTION("""COMPUTED_VALUE"""),"x")</f>
        <v>x</v>
      </c>
      <c r="M1678" s="19" t="str">
        <f>IFERROR(__xludf.DUMMYFUNCTION("""COMPUTED_VALUE"""),"PCM")</f>
        <v>PCM</v>
      </c>
      <c r="N1678" s="19" t="str">
        <f>IFERROR(__xludf.DUMMYFUNCTION("""COMPUTED_VALUE"""),"PRIORIDAD 1 Q3 2023 OCTUBRE")</f>
        <v>PRIORIDAD 1 Q3 2023 OCTUBRE</v>
      </c>
    </row>
    <row r="1679" ht="15.75" customHeight="1">
      <c r="A1679" s="19" t="str">
        <f>IFERROR(__xludf.DUMMYFUNCTION("""COMPUTED_VALUE"""),"AB_0518")</f>
        <v>AB_0518</v>
      </c>
      <c r="B1679" s="19" t="str">
        <f>IFERROR(__xludf.DUMMYFUNCTION("""COMPUTED_VALUE"""),"AB_0518_L")</f>
        <v>AB_0518_L</v>
      </c>
      <c r="C1679" s="19" t="str">
        <f>IFERROR(__xludf.DUMMYFUNCTION("""COMPUTED_VALUE"""),"VA0518")</f>
        <v>VA0518</v>
      </c>
      <c r="D1679" s="19" t="str">
        <f>IFERROR(__xludf.DUMMYFUNCTION("""COMPUTED_VALUE"""),"Montemar")</f>
        <v>Montemar</v>
      </c>
      <c r="E1679" s="19" t="str">
        <f>IFERROR(__xludf.DUMMYFUNCTION("""COMPUTED_VALUE"""),"SITIO RFI")</f>
        <v>SITIO RFI</v>
      </c>
      <c r="F1679" s="19"/>
      <c r="G1679" s="19" t="str">
        <f>IFERROR(__xludf.DUMMYFUNCTION("""COMPUTED_VALUE"""),"x")</f>
        <v>x</v>
      </c>
      <c r="H1679" s="19" t="str">
        <f>IFERROR(__xludf.DUMMYFUNCTION("""COMPUTED_VALUE"""),"x")</f>
        <v>x</v>
      </c>
      <c r="I1679" s="19" t="str">
        <f>IFERROR(__xludf.DUMMYFUNCTION("""COMPUTED_VALUE"""),"x")</f>
        <v>x</v>
      </c>
      <c r="J1679" s="20" t="str">
        <f>IFERROR(__xludf.DUMMYFUNCTION("""COMPUTED_VALUE"""),"x")</f>
        <v>x</v>
      </c>
      <c r="K1679" s="19" t="str">
        <f>IFERROR(__xludf.DUMMYFUNCTION("""COMPUTED_VALUE"""),"x")</f>
        <v>x</v>
      </c>
      <c r="L1679" s="20" t="str">
        <f>IFERROR(__xludf.DUMMYFUNCTION("""COMPUTED_VALUE"""),"x")</f>
        <v>x</v>
      </c>
      <c r="M1679" s="19" t="str">
        <f>IFERROR(__xludf.DUMMYFUNCTION("""COMPUTED_VALUE"""),"PCM")</f>
        <v>PCM</v>
      </c>
      <c r="N1679" s="19" t="str">
        <f>IFERROR(__xludf.DUMMYFUNCTION("""COMPUTED_VALUE"""),"PRIORIDAD 1 Q3 2023 OCTUBRE")</f>
        <v>PRIORIDAD 1 Q3 2023 OCTUBRE</v>
      </c>
    </row>
    <row r="1680" ht="15.75" customHeight="1">
      <c r="A1680" s="19" t="str">
        <f>IFERROR(__xludf.DUMMYFUNCTION("""COMPUTED_VALUE"""),"AB_0702")</f>
        <v>AB_0702</v>
      </c>
      <c r="B1680" s="19" t="str">
        <f>IFERROR(__xludf.DUMMYFUNCTION("""COMPUTED_VALUE"""),"AB_0702_D")</f>
        <v>AB_0702_D</v>
      </c>
      <c r="C1680" s="19" t="str">
        <f>IFERROR(__xludf.DUMMYFUNCTION("""COMPUTED_VALUE"""),"VA0702")</f>
        <v>VA0702</v>
      </c>
      <c r="D1680" s="19" t="str">
        <f>IFERROR(__xludf.DUMMYFUNCTION("""COMPUTED_VALUE"""),"Ruta F-30-E 2")</f>
        <v>Ruta F-30-E 2</v>
      </c>
      <c r="E1680" s="19" t="str">
        <f>IFERROR(__xludf.DUMMYFUNCTION("""COMPUTED_VALUE"""),"SITIO RFI")</f>
        <v>SITIO RFI</v>
      </c>
      <c r="F1680" s="19"/>
      <c r="G1680" s="19" t="str">
        <f>IFERROR(__xludf.DUMMYFUNCTION("""COMPUTED_VALUE"""),"x")</f>
        <v>x</v>
      </c>
      <c r="H1680" s="19" t="str">
        <f>IFERROR(__xludf.DUMMYFUNCTION("""COMPUTED_VALUE"""),"x")</f>
        <v>x</v>
      </c>
      <c r="I1680" s="19" t="str">
        <f>IFERROR(__xludf.DUMMYFUNCTION("""COMPUTED_VALUE"""),"x")</f>
        <v>x</v>
      </c>
      <c r="J1680" s="20" t="str">
        <f>IFERROR(__xludf.DUMMYFUNCTION("""COMPUTED_VALUE"""),"x")</f>
        <v>x</v>
      </c>
      <c r="K1680" s="19" t="str">
        <f>IFERROR(__xludf.DUMMYFUNCTION("""COMPUTED_VALUE"""),"x")</f>
        <v>x</v>
      </c>
      <c r="L1680" s="20" t="str">
        <f>IFERROR(__xludf.DUMMYFUNCTION("""COMPUTED_VALUE"""),"x")</f>
        <v>x</v>
      </c>
      <c r="M1680" s="19" t="str">
        <f>IFERROR(__xludf.DUMMYFUNCTION("""COMPUTED_VALUE"""),"PCM")</f>
        <v>PCM</v>
      </c>
      <c r="N1680" s="19" t="str">
        <f>IFERROR(__xludf.DUMMYFUNCTION("""COMPUTED_VALUE"""),"PRIORIDAD 1 Q3 2023 OCTUBRE")</f>
        <v>PRIORIDAD 1 Q3 2023 OCTUBRE</v>
      </c>
    </row>
    <row r="1681" ht="15.75" customHeight="1">
      <c r="A1681" s="19" t="str">
        <f>IFERROR(__xludf.DUMMYFUNCTION("""COMPUTED_VALUE"""),"AB_0723")</f>
        <v>AB_0723</v>
      </c>
      <c r="B1681" s="19" t="str">
        <f>IFERROR(__xludf.DUMMYFUNCTION("""COMPUTED_VALUE"""),"AB_0723_J")</f>
        <v>AB_0723_J</v>
      </c>
      <c r="C1681" s="19" t="str">
        <f>IFERROR(__xludf.DUMMYFUNCTION("""COMPUTED_VALUE"""),"VA0723")</f>
        <v>VA0723</v>
      </c>
      <c r="D1681" s="19" t="str">
        <f>IFERROR(__xludf.DUMMYFUNCTION("""COMPUTED_VALUE"""),"Cartagena Oriente")</f>
        <v>Cartagena Oriente</v>
      </c>
      <c r="E1681" s="19" t="str">
        <f>IFERROR(__xludf.DUMMYFUNCTION("""COMPUTED_VALUE"""),"SITIO RFI")</f>
        <v>SITIO RFI</v>
      </c>
      <c r="F1681" s="19"/>
      <c r="G1681" s="19" t="str">
        <f>IFERROR(__xludf.DUMMYFUNCTION("""COMPUTED_VALUE"""),"x")</f>
        <v>x</v>
      </c>
      <c r="H1681" s="19" t="str">
        <f>IFERROR(__xludf.DUMMYFUNCTION("""COMPUTED_VALUE"""),"x")</f>
        <v>x</v>
      </c>
      <c r="I1681" s="19" t="str">
        <f>IFERROR(__xludf.DUMMYFUNCTION("""COMPUTED_VALUE"""),"x")</f>
        <v>x</v>
      </c>
      <c r="J1681" s="20" t="str">
        <f>IFERROR(__xludf.DUMMYFUNCTION("""COMPUTED_VALUE"""),"x")</f>
        <v>x</v>
      </c>
      <c r="K1681" s="19" t="str">
        <f>IFERROR(__xludf.DUMMYFUNCTION("""COMPUTED_VALUE"""),"x")</f>
        <v>x</v>
      </c>
      <c r="L1681" s="20" t="str">
        <f>IFERROR(__xludf.DUMMYFUNCTION("""COMPUTED_VALUE"""),"x")</f>
        <v>x</v>
      </c>
      <c r="M1681" s="19" t="str">
        <f>IFERROR(__xludf.DUMMYFUNCTION("""COMPUTED_VALUE"""),"PCM")</f>
        <v>PCM</v>
      </c>
      <c r="N1681" s="19" t="str">
        <f>IFERROR(__xludf.DUMMYFUNCTION("""COMPUTED_VALUE"""),"PRIORIDAD 1 Q3 2023 OCTUBRE")</f>
        <v>PRIORIDAD 1 Q3 2023 OCTUBRE</v>
      </c>
    </row>
    <row r="1682" ht="15.75" customHeight="1">
      <c r="A1682" s="19" t="str">
        <f>IFERROR(__xludf.DUMMYFUNCTION("""COMPUTED_VALUE"""),"AB_0839")</f>
        <v>AB_0839</v>
      </c>
      <c r="B1682" s="19" t="str">
        <f>IFERROR(__xludf.DUMMYFUNCTION("""COMPUTED_VALUE"""),"AB_0839_H")</f>
        <v>AB_0839_H</v>
      </c>
      <c r="C1682" s="19" t="str">
        <f>IFERROR(__xludf.DUMMYFUNCTION("""COMPUTED_VALUE"""),"VA0839")</f>
        <v>VA0839</v>
      </c>
      <c r="D1682" s="19" t="str">
        <f>IFERROR(__xludf.DUMMYFUNCTION("""COMPUTED_VALUE"""),"San Esteban")</f>
        <v>San Esteban</v>
      </c>
      <c r="E1682" s="19" t="str">
        <f>IFERROR(__xludf.DUMMYFUNCTION("""COMPUTED_VALUE"""),"SITIO RFI")</f>
        <v>SITIO RFI</v>
      </c>
      <c r="F1682" s="19"/>
      <c r="G1682" s="19" t="str">
        <f>IFERROR(__xludf.DUMMYFUNCTION("""COMPUTED_VALUE"""),"x")</f>
        <v>x</v>
      </c>
      <c r="H1682" s="19" t="str">
        <f>IFERROR(__xludf.DUMMYFUNCTION("""COMPUTED_VALUE"""),"x")</f>
        <v>x</v>
      </c>
      <c r="I1682" s="19" t="str">
        <f>IFERROR(__xludf.DUMMYFUNCTION("""COMPUTED_VALUE"""),"x")</f>
        <v>x</v>
      </c>
      <c r="J1682" s="20" t="str">
        <f>IFERROR(__xludf.DUMMYFUNCTION("""COMPUTED_VALUE"""),"x")</f>
        <v>x</v>
      </c>
      <c r="K1682" s="19" t="str">
        <f>IFERROR(__xludf.DUMMYFUNCTION("""COMPUTED_VALUE"""),"x")</f>
        <v>x</v>
      </c>
      <c r="L1682" s="20" t="str">
        <f>IFERROR(__xludf.DUMMYFUNCTION("""COMPUTED_VALUE"""),"x")</f>
        <v>x</v>
      </c>
      <c r="M1682" s="19" t="str">
        <f>IFERROR(__xludf.DUMMYFUNCTION("""COMPUTED_VALUE"""),"PCM")</f>
        <v>PCM</v>
      </c>
      <c r="N1682" s="19" t="str">
        <f>IFERROR(__xludf.DUMMYFUNCTION("""COMPUTED_VALUE"""),"PRIORIDAD 1 Q3 2023 OCTUBRE")</f>
        <v>PRIORIDAD 1 Q3 2023 OCTUBRE</v>
      </c>
    </row>
    <row r="1683" ht="15.75" customHeight="1">
      <c r="A1683" s="19" t="str">
        <f>IFERROR(__xludf.DUMMYFUNCTION("""COMPUTED_VALUE"""),"AB_10294")</f>
        <v>AB_10294</v>
      </c>
      <c r="B1683" s="19" t="str">
        <f>IFERROR(__xludf.DUMMYFUNCTION("""COMPUTED_VALUE"""),"AB_10294_O")</f>
        <v>AB_10294_O</v>
      </c>
      <c r="C1683" s="19" t="str">
        <f>IFERROR(__xludf.DUMMYFUNCTION("""COMPUTED_VALUE"""),"VA10294")</f>
        <v>VA10294</v>
      </c>
      <c r="D1683" s="19" t="str">
        <f>IFERROR(__xludf.DUMMYFUNCTION("""COMPUTED_VALUE"""),"Cooperativa El Tabito")</f>
        <v>Cooperativa El Tabito</v>
      </c>
      <c r="E1683" s="19" t="str">
        <f>IFERROR(__xludf.DUMMYFUNCTION("""COMPUTED_VALUE"""),"SITIO RFI")</f>
        <v>SITIO RFI</v>
      </c>
      <c r="F1683" s="19"/>
      <c r="G1683" s="19" t="str">
        <f>IFERROR(__xludf.DUMMYFUNCTION("""COMPUTED_VALUE"""),"x")</f>
        <v>x</v>
      </c>
      <c r="H1683" s="19" t="str">
        <f>IFERROR(__xludf.DUMMYFUNCTION("""COMPUTED_VALUE"""),"x")</f>
        <v>x</v>
      </c>
      <c r="I1683" s="19" t="str">
        <f>IFERROR(__xludf.DUMMYFUNCTION("""COMPUTED_VALUE"""),"x")</f>
        <v>x</v>
      </c>
      <c r="J1683" s="20" t="str">
        <f>IFERROR(__xludf.DUMMYFUNCTION("""COMPUTED_VALUE"""),"x")</f>
        <v>x</v>
      </c>
      <c r="K1683" s="19" t="str">
        <f>IFERROR(__xludf.DUMMYFUNCTION("""COMPUTED_VALUE"""),"x")</f>
        <v>x</v>
      </c>
      <c r="L1683" s="20" t="str">
        <f>IFERROR(__xludf.DUMMYFUNCTION("""COMPUTED_VALUE"""),"x")</f>
        <v>x</v>
      </c>
      <c r="M1683" s="19" t="str">
        <f>IFERROR(__xludf.DUMMYFUNCTION("""COMPUTED_VALUE"""),"PCM")</f>
        <v>PCM</v>
      </c>
      <c r="N1683" s="19" t="str">
        <f>IFERROR(__xludf.DUMMYFUNCTION("""COMPUTED_VALUE"""),"PRIORIDAD 1 Q3 2023 OCTUBRE")</f>
        <v>PRIORIDAD 1 Q3 2023 OCTUBRE</v>
      </c>
    </row>
    <row r="1684" ht="15.75" customHeight="1">
      <c r="A1684" s="19" t="str">
        <f>IFERROR(__xludf.DUMMYFUNCTION("""COMPUTED_VALUE"""),"AB_10315")</f>
        <v>AB_10315</v>
      </c>
      <c r="B1684" s="19" t="str">
        <f>IFERROR(__xludf.DUMMYFUNCTION("""COMPUTED_VALUE"""),"AB_10315_C")</f>
        <v>AB_10315_C</v>
      </c>
      <c r="C1684" s="19" t="str">
        <f>IFERROR(__xludf.DUMMYFUNCTION("""COMPUTED_VALUE"""),"VA10315")</f>
        <v>VA10315</v>
      </c>
      <c r="D1684" s="19" t="str">
        <f>IFERROR(__xludf.DUMMYFUNCTION("""COMPUTED_VALUE"""),"Hospital San Antonio Putaendo")</f>
        <v>Hospital San Antonio Putaendo</v>
      </c>
      <c r="E1684" s="19" t="str">
        <f>IFERROR(__xludf.DUMMYFUNCTION("""COMPUTED_VALUE"""),"SITIO RFI")</f>
        <v>SITIO RFI</v>
      </c>
      <c r="F1684" s="19"/>
      <c r="G1684" s="19" t="str">
        <f>IFERROR(__xludf.DUMMYFUNCTION("""COMPUTED_VALUE"""),"x")</f>
        <v>x</v>
      </c>
      <c r="H1684" s="19" t="str">
        <f>IFERROR(__xludf.DUMMYFUNCTION("""COMPUTED_VALUE"""),"x")</f>
        <v>x</v>
      </c>
      <c r="I1684" s="19" t="str">
        <f>IFERROR(__xludf.DUMMYFUNCTION("""COMPUTED_VALUE"""),"x")</f>
        <v>x</v>
      </c>
      <c r="J1684" s="20" t="str">
        <f>IFERROR(__xludf.DUMMYFUNCTION("""COMPUTED_VALUE"""),"x")</f>
        <v>x</v>
      </c>
      <c r="K1684" s="19" t="str">
        <f>IFERROR(__xludf.DUMMYFUNCTION("""COMPUTED_VALUE"""),"x")</f>
        <v>x</v>
      </c>
      <c r="L1684" s="20" t="str">
        <f>IFERROR(__xludf.DUMMYFUNCTION("""COMPUTED_VALUE"""),"x")</f>
        <v>x</v>
      </c>
      <c r="M1684" s="19" t="str">
        <f>IFERROR(__xludf.DUMMYFUNCTION("""COMPUTED_VALUE"""),"PCM")</f>
        <v>PCM</v>
      </c>
      <c r="N1684" s="19" t="str">
        <f>IFERROR(__xludf.DUMMYFUNCTION("""COMPUTED_VALUE"""),"PRIORIDAD 1 Q3 2023 OCTUBRE")</f>
        <v>PRIORIDAD 1 Q3 2023 OCTUBRE</v>
      </c>
    </row>
    <row r="1685" ht="15.75" customHeight="1">
      <c r="A1685" s="19" t="str">
        <f>IFERROR(__xludf.DUMMYFUNCTION("""COMPUTED_VALUE"""),"AB_10316")</f>
        <v>AB_10316</v>
      </c>
      <c r="B1685" s="19" t="str">
        <f>IFERROR(__xludf.DUMMYFUNCTION("""COMPUTED_VALUE"""),"AB_10316_H")</f>
        <v>AB_10316_H</v>
      </c>
      <c r="C1685" s="19" t="str">
        <f>IFERROR(__xludf.DUMMYFUNCTION("""COMPUTED_VALUE"""),"VA10316")</f>
        <v>VA10316</v>
      </c>
      <c r="D1685" s="19" t="str">
        <f>IFERROR(__xludf.DUMMYFUNCTION("""COMPUTED_VALUE"""),"Hospital Juana Ross de Edwards")</f>
        <v>Hospital Juana Ross de Edwards</v>
      </c>
      <c r="E1685" s="19" t="str">
        <f>IFERROR(__xludf.DUMMYFUNCTION("""COMPUTED_VALUE"""),"SITIO RFI")</f>
        <v>SITIO RFI</v>
      </c>
      <c r="F1685" s="19"/>
      <c r="G1685" s="19" t="str">
        <f>IFERROR(__xludf.DUMMYFUNCTION("""COMPUTED_VALUE"""),"x")</f>
        <v>x</v>
      </c>
      <c r="H1685" s="19" t="str">
        <f>IFERROR(__xludf.DUMMYFUNCTION("""COMPUTED_VALUE"""),"x")</f>
        <v>x</v>
      </c>
      <c r="I1685" s="19" t="str">
        <f>IFERROR(__xludf.DUMMYFUNCTION("""COMPUTED_VALUE"""),"x")</f>
        <v>x</v>
      </c>
      <c r="J1685" s="20" t="str">
        <f>IFERROR(__xludf.DUMMYFUNCTION("""COMPUTED_VALUE"""),"x")</f>
        <v>x</v>
      </c>
      <c r="K1685" s="19" t="str">
        <f>IFERROR(__xludf.DUMMYFUNCTION("""COMPUTED_VALUE"""),"x")</f>
        <v>x</v>
      </c>
      <c r="L1685" s="20" t="str">
        <f>IFERROR(__xludf.DUMMYFUNCTION("""COMPUTED_VALUE"""),"x")</f>
        <v>x</v>
      </c>
      <c r="M1685" s="19" t="str">
        <f>IFERROR(__xludf.DUMMYFUNCTION("""COMPUTED_VALUE"""),"PCM")</f>
        <v>PCM</v>
      </c>
      <c r="N1685" s="19" t="str">
        <f>IFERROR(__xludf.DUMMYFUNCTION("""COMPUTED_VALUE"""),"PRIORIDAD 1 Q3 2023 OCTUBRE")</f>
        <v>PRIORIDAD 1 Q3 2023 OCTUBRE</v>
      </c>
    </row>
    <row r="1686" ht="15.75" customHeight="1">
      <c r="A1686" s="19" t="str">
        <f>IFERROR(__xludf.DUMMYFUNCTION("""COMPUTED_VALUE"""),"AB_10317")</f>
        <v>AB_10317</v>
      </c>
      <c r="B1686" s="19" t="str">
        <f>IFERROR(__xludf.DUMMYFUNCTION("""COMPUTED_VALUE"""),"AB_10317_B")</f>
        <v>AB_10317_B</v>
      </c>
      <c r="C1686" s="19" t="str">
        <f>IFERROR(__xludf.DUMMYFUNCTION("""COMPUTED_VALUE"""),"VA10317")</f>
        <v>VA10317</v>
      </c>
      <c r="D1686" s="19" t="str">
        <f>IFERROR(__xludf.DUMMYFUNCTION("""COMPUTED_VALUE"""),"Hospital San Agustin La Ligua")</f>
        <v>Hospital San Agustin La Ligua</v>
      </c>
      <c r="E1686" s="19" t="str">
        <f>IFERROR(__xludf.DUMMYFUNCTION("""COMPUTED_VALUE"""),"SITIO RFI")</f>
        <v>SITIO RFI</v>
      </c>
      <c r="F1686" s="19"/>
      <c r="G1686" s="19" t="str">
        <f>IFERROR(__xludf.DUMMYFUNCTION("""COMPUTED_VALUE"""),"x")</f>
        <v>x</v>
      </c>
      <c r="H1686" s="19" t="str">
        <f>IFERROR(__xludf.DUMMYFUNCTION("""COMPUTED_VALUE"""),"x")</f>
        <v>x</v>
      </c>
      <c r="I1686" s="19" t="str">
        <f>IFERROR(__xludf.DUMMYFUNCTION("""COMPUTED_VALUE"""),"x")</f>
        <v>x</v>
      </c>
      <c r="J1686" s="20" t="str">
        <f>IFERROR(__xludf.DUMMYFUNCTION("""COMPUTED_VALUE"""),"x")</f>
        <v>x</v>
      </c>
      <c r="K1686" s="19" t="str">
        <f>IFERROR(__xludf.DUMMYFUNCTION("""COMPUTED_VALUE"""),"x")</f>
        <v>x</v>
      </c>
      <c r="L1686" s="20" t="str">
        <f>IFERROR(__xludf.DUMMYFUNCTION("""COMPUTED_VALUE"""),"x")</f>
        <v>x</v>
      </c>
      <c r="M1686" s="19" t="str">
        <f>IFERROR(__xludf.DUMMYFUNCTION("""COMPUTED_VALUE"""),"PCM")</f>
        <v>PCM</v>
      </c>
      <c r="N1686" s="19" t="str">
        <f>IFERROR(__xludf.DUMMYFUNCTION("""COMPUTED_VALUE"""),"PRIORIDAD 1 Q3 2023 OCTUBRE")</f>
        <v>PRIORIDAD 1 Q3 2023 OCTUBRE</v>
      </c>
    </row>
    <row r="1687" ht="15.75" customHeight="1">
      <c r="A1687" s="19" t="str">
        <f>IFERROR(__xludf.DUMMYFUNCTION("""COMPUTED_VALUE"""),"AB_10318")</f>
        <v>AB_10318</v>
      </c>
      <c r="B1687" s="19" t="str">
        <f>IFERROR(__xludf.DUMMYFUNCTION("""COMPUTED_VALUE"""),"AB_10318_C")</f>
        <v>AB_10318_C</v>
      </c>
      <c r="C1687" s="19" t="str">
        <f>IFERROR(__xludf.DUMMYFUNCTION("""COMPUTED_VALUE"""),"VA10318")</f>
        <v>VA10318</v>
      </c>
      <c r="D1687" s="19" t="str">
        <f>IFERROR(__xludf.DUMMYFUNCTION("""COMPUTED_VALUE"""),"Hospital Santo Tomas Limache")</f>
        <v>Hospital Santo Tomas Limache</v>
      </c>
      <c r="E1687" s="19" t="str">
        <f>IFERROR(__xludf.DUMMYFUNCTION("""COMPUTED_VALUE"""),"SITIO RFI")</f>
        <v>SITIO RFI</v>
      </c>
      <c r="F1687" s="19"/>
      <c r="G1687" s="19" t="str">
        <f>IFERROR(__xludf.DUMMYFUNCTION("""COMPUTED_VALUE"""),"x")</f>
        <v>x</v>
      </c>
      <c r="H1687" s="19" t="str">
        <f>IFERROR(__xludf.DUMMYFUNCTION("""COMPUTED_VALUE"""),"x")</f>
        <v>x</v>
      </c>
      <c r="I1687" s="19" t="str">
        <f>IFERROR(__xludf.DUMMYFUNCTION("""COMPUTED_VALUE"""),"x")</f>
        <v>x</v>
      </c>
      <c r="J1687" s="20" t="str">
        <f>IFERROR(__xludf.DUMMYFUNCTION("""COMPUTED_VALUE"""),"x")</f>
        <v>x</v>
      </c>
      <c r="K1687" s="19" t="str">
        <f>IFERROR(__xludf.DUMMYFUNCTION("""COMPUTED_VALUE"""),"x")</f>
        <v>x</v>
      </c>
      <c r="L1687" s="20" t="str">
        <f>IFERROR(__xludf.DUMMYFUNCTION("""COMPUTED_VALUE"""),"x")</f>
        <v>x</v>
      </c>
      <c r="M1687" s="19" t="str">
        <f>IFERROR(__xludf.DUMMYFUNCTION("""COMPUTED_VALUE"""),"PCM")</f>
        <v>PCM</v>
      </c>
      <c r="N1687" s="19" t="str">
        <f>IFERROR(__xludf.DUMMYFUNCTION("""COMPUTED_VALUE"""),"PRIORIDAD 1 Q3 2023 OCTUBRE")</f>
        <v>PRIORIDAD 1 Q3 2023 OCTUBRE</v>
      </c>
    </row>
    <row r="1688" ht="15.75" customHeight="1">
      <c r="A1688" s="19" t="str">
        <f>IFERROR(__xludf.DUMMYFUNCTION("""COMPUTED_VALUE"""),"AB_10630")</f>
        <v>AB_10630</v>
      </c>
      <c r="B1688" s="19" t="str">
        <f>IFERROR(__xludf.DUMMYFUNCTION("""COMPUTED_VALUE"""),"AB_10630_C")</f>
        <v>AB_10630_C</v>
      </c>
      <c r="C1688" s="19" t="str">
        <f>IFERROR(__xludf.DUMMYFUNCTION("""COMPUTED_VALUE"""),"VA10630")</f>
        <v>VA10630</v>
      </c>
      <c r="D1688" s="19" t="str">
        <f>IFERROR(__xludf.DUMMYFUNCTION("""COMPUTED_VALUE"""),"Borgoño Petorca")</f>
        <v>Borgoño Petorca</v>
      </c>
      <c r="E1688" s="19" t="str">
        <f>IFERROR(__xludf.DUMMYFUNCTION("""COMPUTED_VALUE"""),"SITIO RFI")</f>
        <v>SITIO RFI</v>
      </c>
      <c r="F1688" s="19"/>
      <c r="G1688" s="19" t="str">
        <f>IFERROR(__xludf.DUMMYFUNCTION("""COMPUTED_VALUE"""),"x")</f>
        <v>x</v>
      </c>
      <c r="H1688" s="19" t="str">
        <f>IFERROR(__xludf.DUMMYFUNCTION("""COMPUTED_VALUE"""),"x")</f>
        <v>x</v>
      </c>
      <c r="I1688" s="19" t="str">
        <f>IFERROR(__xludf.DUMMYFUNCTION("""COMPUTED_VALUE"""),"x")</f>
        <v>x</v>
      </c>
      <c r="J1688" s="20" t="str">
        <f>IFERROR(__xludf.DUMMYFUNCTION("""COMPUTED_VALUE"""),"x")</f>
        <v>x</v>
      </c>
      <c r="K1688" s="19" t="str">
        <f>IFERROR(__xludf.DUMMYFUNCTION("""COMPUTED_VALUE"""),"x")</f>
        <v>x</v>
      </c>
      <c r="L1688" s="20" t="str">
        <f>IFERROR(__xludf.DUMMYFUNCTION("""COMPUTED_VALUE"""),"x")</f>
        <v>x</v>
      </c>
      <c r="M1688" s="19" t="str">
        <f>IFERROR(__xludf.DUMMYFUNCTION("""COMPUTED_VALUE"""),"PCM")</f>
        <v>PCM</v>
      </c>
      <c r="N1688" s="19" t="str">
        <f>IFERROR(__xludf.DUMMYFUNCTION("""COMPUTED_VALUE"""),"PRIORIDAD 1 Q3 2023 OCTUBRE")</f>
        <v>PRIORIDAD 1 Q3 2023 OCTUBRE</v>
      </c>
    </row>
    <row r="1689" ht="15.75" customHeight="1">
      <c r="A1689" s="19" t="str">
        <f>IFERROR(__xludf.DUMMYFUNCTION("""COMPUTED_VALUE"""),"AB_1954")</f>
        <v>AB_1954</v>
      </c>
      <c r="B1689" s="19" t="str">
        <f>IFERROR(__xludf.DUMMYFUNCTION("""COMPUTED_VALUE"""),"AB_1954_K")</f>
        <v>AB_1954_K</v>
      </c>
      <c r="C1689" s="19" t="str">
        <f>IFERROR(__xludf.DUMMYFUNCTION("""COMPUTED_VALUE"""),"VA1954")</f>
        <v>VA1954</v>
      </c>
      <c r="D1689" s="19" t="str">
        <f>IFERROR(__xludf.DUMMYFUNCTION("""COMPUTED_VALUE"""),"Parque Industrial El Salto")</f>
        <v>Parque Industrial El Salto</v>
      </c>
      <c r="E1689" s="19" t="str">
        <f>IFERROR(__xludf.DUMMYFUNCTION("""COMPUTED_VALUE"""),"SITIO RFI")</f>
        <v>SITIO RFI</v>
      </c>
      <c r="F1689" s="19"/>
      <c r="G1689" s="19" t="str">
        <f>IFERROR(__xludf.DUMMYFUNCTION("""COMPUTED_VALUE"""),"x")</f>
        <v>x</v>
      </c>
      <c r="H1689" s="19" t="str">
        <f>IFERROR(__xludf.DUMMYFUNCTION("""COMPUTED_VALUE"""),"x")</f>
        <v>x</v>
      </c>
      <c r="I1689" s="19" t="str">
        <f>IFERROR(__xludf.DUMMYFUNCTION("""COMPUTED_VALUE"""),"x")</f>
        <v>x</v>
      </c>
      <c r="J1689" s="20" t="str">
        <f>IFERROR(__xludf.DUMMYFUNCTION("""COMPUTED_VALUE"""),"x")</f>
        <v>x</v>
      </c>
      <c r="K1689" s="19" t="str">
        <f>IFERROR(__xludf.DUMMYFUNCTION("""COMPUTED_VALUE"""),"x")</f>
        <v>x</v>
      </c>
      <c r="L1689" s="20" t="str">
        <f>IFERROR(__xludf.DUMMYFUNCTION("""COMPUTED_VALUE"""),"x")</f>
        <v>x</v>
      </c>
      <c r="M1689" s="19" t="str">
        <f>IFERROR(__xludf.DUMMYFUNCTION("""COMPUTED_VALUE"""),"PCM")</f>
        <v>PCM</v>
      </c>
      <c r="N1689" s="19" t="str">
        <f>IFERROR(__xludf.DUMMYFUNCTION("""COMPUTED_VALUE"""),"PRIORIDAD 1 Q3 2023 OCTUBRE")</f>
        <v>PRIORIDAD 1 Q3 2023 OCTUBRE</v>
      </c>
    </row>
    <row r="1690" ht="15.75" customHeight="1">
      <c r="A1690" s="19" t="str">
        <f>IFERROR(__xludf.DUMMYFUNCTION("""COMPUTED_VALUE"""),"AB_2573")</f>
        <v>AB_2573</v>
      </c>
      <c r="B1690" s="19" t="str">
        <f>IFERROR(__xludf.DUMMYFUNCTION("""COMPUTED_VALUE"""),"AB_2573_Ñ")</f>
        <v>AB_2573_Ñ</v>
      </c>
      <c r="C1690" s="19" t="str">
        <f>IFERROR(__xludf.DUMMYFUNCTION("""COMPUTED_VALUE"""),"VA2573")</f>
        <v>VA2573</v>
      </c>
      <c r="D1690" s="19" t="str">
        <f>IFERROR(__xludf.DUMMYFUNCTION("""COMPUTED_VALUE"""),"La Laguna Zapallar")</f>
        <v>La Laguna Zapallar</v>
      </c>
      <c r="E1690" s="19" t="str">
        <f>IFERROR(__xludf.DUMMYFUNCTION("""COMPUTED_VALUE"""),"SITIO RFI")</f>
        <v>SITIO RFI</v>
      </c>
      <c r="F1690" s="19"/>
      <c r="G1690" s="19" t="str">
        <f>IFERROR(__xludf.DUMMYFUNCTION("""COMPUTED_VALUE"""),"x")</f>
        <v>x</v>
      </c>
      <c r="H1690" s="19" t="str">
        <f>IFERROR(__xludf.DUMMYFUNCTION("""COMPUTED_VALUE"""),"x")</f>
        <v>x</v>
      </c>
      <c r="I1690" s="19" t="str">
        <f>IFERROR(__xludf.DUMMYFUNCTION("""COMPUTED_VALUE"""),"x")</f>
        <v>x</v>
      </c>
      <c r="J1690" s="20" t="str">
        <f>IFERROR(__xludf.DUMMYFUNCTION("""COMPUTED_VALUE"""),"x")</f>
        <v>x</v>
      </c>
      <c r="K1690" s="19" t="str">
        <f>IFERROR(__xludf.DUMMYFUNCTION("""COMPUTED_VALUE"""),"x")</f>
        <v>x</v>
      </c>
      <c r="L1690" s="20" t="str">
        <f>IFERROR(__xludf.DUMMYFUNCTION("""COMPUTED_VALUE"""),"x")</f>
        <v>x</v>
      </c>
      <c r="M1690" s="19" t="str">
        <f>IFERROR(__xludf.DUMMYFUNCTION("""COMPUTED_VALUE"""),"PCM")</f>
        <v>PCM</v>
      </c>
      <c r="N1690" s="19" t="str">
        <f>IFERROR(__xludf.DUMMYFUNCTION("""COMPUTED_VALUE"""),"PRIORIDAD 1 Q3 2023 OCTUBRE")</f>
        <v>PRIORIDAD 1 Q3 2023 OCTUBRE</v>
      </c>
    </row>
    <row r="1691" ht="15.75" customHeight="1">
      <c r="A1691" s="19" t="str">
        <f>IFERROR(__xludf.DUMMYFUNCTION("""COMPUTED_VALUE"""),"AB_2749")</f>
        <v>AB_2749</v>
      </c>
      <c r="B1691" s="19" t="str">
        <f>IFERROR(__xludf.DUMMYFUNCTION("""COMPUTED_VALUE"""),"AB_2749_F")</f>
        <v>AB_2749_F</v>
      </c>
      <c r="C1691" s="19" t="str">
        <f>IFERROR(__xludf.DUMMYFUNCTION("""COMPUTED_VALUE"""),"VA2749")</f>
        <v>VA2749</v>
      </c>
      <c r="D1691" s="19" t="str">
        <f>IFERROR(__xludf.DUMMYFUNCTION("""COMPUTED_VALUE"""),"Las Maravillas")</f>
        <v>Las Maravillas</v>
      </c>
      <c r="E1691" s="19" t="str">
        <f>IFERROR(__xludf.DUMMYFUNCTION("""COMPUTED_VALUE"""),"SITIO RFI")</f>
        <v>SITIO RFI</v>
      </c>
      <c r="F1691" s="19"/>
      <c r="G1691" s="19" t="str">
        <f>IFERROR(__xludf.DUMMYFUNCTION("""COMPUTED_VALUE"""),"x")</f>
        <v>x</v>
      </c>
      <c r="H1691" s="19" t="str">
        <f>IFERROR(__xludf.DUMMYFUNCTION("""COMPUTED_VALUE"""),"x")</f>
        <v>x</v>
      </c>
      <c r="I1691" s="19" t="str">
        <f>IFERROR(__xludf.DUMMYFUNCTION("""COMPUTED_VALUE"""),"x")</f>
        <v>x</v>
      </c>
      <c r="J1691" s="20" t="str">
        <f>IFERROR(__xludf.DUMMYFUNCTION("""COMPUTED_VALUE"""),"x")</f>
        <v>x</v>
      </c>
      <c r="K1691" s="19" t="str">
        <f>IFERROR(__xludf.DUMMYFUNCTION("""COMPUTED_VALUE"""),"x")</f>
        <v>x</v>
      </c>
      <c r="L1691" s="20" t="str">
        <f>IFERROR(__xludf.DUMMYFUNCTION("""COMPUTED_VALUE"""),"x")</f>
        <v>x</v>
      </c>
      <c r="M1691" s="19" t="str">
        <f>IFERROR(__xludf.DUMMYFUNCTION("""COMPUTED_VALUE"""),"PCM")</f>
        <v>PCM</v>
      </c>
      <c r="N1691" s="19" t="str">
        <f>IFERROR(__xludf.DUMMYFUNCTION("""COMPUTED_VALUE"""),"PRIORIDAD 1 Q3 2023 OCTUBRE")</f>
        <v>PRIORIDAD 1 Q3 2023 OCTUBRE</v>
      </c>
    </row>
    <row r="1692" ht="15.75" customHeight="1">
      <c r="A1692" s="19" t="str">
        <f>IFERROR(__xludf.DUMMYFUNCTION("""COMPUTED_VALUE"""),"AB_2968")</f>
        <v>AB_2968</v>
      </c>
      <c r="B1692" s="19" t="str">
        <f>IFERROR(__xludf.DUMMYFUNCTION("""COMPUTED_VALUE"""),"AB_2968_I")</f>
        <v>AB_2968_I</v>
      </c>
      <c r="C1692" s="19" t="str">
        <f>IFERROR(__xludf.DUMMYFUNCTION("""COMPUTED_VALUE"""),"VA2968")</f>
        <v>VA2968</v>
      </c>
      <c r="D1692" s="19" t="str">
        <f>IFERROR(__xludf.DUMMYFUNCTION("""COMPUTED_VALUE"""),"Irene Frei Villa Alemana")</f>
        <v>Irene Frei Villa Alemana</v>
      </c>
      <c r="E1692" s="19" t="str">
        <f>IFERROR(__xludf.DUMMYFUNCTION("""COMPUTED_VALUE"""),"SITIO RFC")</f>
        <v>SITIO RFC</v>
      </c>
      <c r="F1692" s="19"/>
      <c r="G1692" s="19" t="str">
        <f>IFERROR(__xludf.DUMMYFUNCTION("""COMPUTED_VALUE"""),"x")</f>
        <v>x</v>
      </c>
      <c r="H1692" s="19" t="str">
        <f>IFERROR(__xludf.DUMMYFUNCTION("""COMPUTED_VALUE"""),"x")</f>
        <v>x</v>
      </c>
      <c r="I1692" s="19" t="str">
        <f>IFERROR(__xludf.DUMMYFUNCTION("""COMPUTED_VALUE"""),"x")</f>
        <v>x</v>
      </c>
      <c r="J1692" s="20" t="str">
        <f>IFERROR(__xludf.DUMMYFUNCTION("""COMPUTED_VALUE"""),"x")</f>
        <v>x</v>
      </c>
      <c r="K1692" s="19" t="str">
        <f>IFERROR(__xludf.DUMMYFUNCTION("""COMPUTED_VALUE"""),"x")</f>
        <v>x</v>
      </c>
      <c r="L1692" s="20" t="str">
        <f>IFERROR(__xludf.DUMMYFUNCTION("""COMPUTED_VALUE"""),"x")</f>
        <v>x</v>
      </c>
      <c r="M1692" s="19" t="str">
        <f>IFERROR(__xludf.DUMMYFUNCTION("""COMPUTED_VALUE"""),"PCM")</f>
        <v>PCM</v>
      </c>
      <c r="N1692" s="19" t="str">
        <f>IFERROR(__xludf.DUMMYFUNCTION("""COMPUTED_VALUE"""),"PRIORIDAD 1 Q3 2023 OCTUBRE")</f>
        <v>PRIORIDAD 1 Q3 2023 OCTUBRE</v>
      </c>
    </row>
    <row r="1693" ht="15.75" customHeight="1">
      <c r="A1693" s="19" t="str">
        <f>IFERROR(__xludf.DUMMYFUNCTION("""COMPUTED_VALUE"""),"AB_4255")</f>
        <v>AB_4255</v>
      </c>
      <c r="B1693" s="19" t="str">
        <f>IFERROR(__xludf.DUMMYFUNCTION("""COMPUTED_VALUE"""),"AB_4255_B")</f>
        <v>AB_4255_B</v>
      </c>
      <c r="C1693" s="19" t="str">
        <f>IFERROR(__xludf.DUMMYFUNCTION("""COMPUTED_VALUE"""),"VA4255")</f>
        <v>VA4255</v>
      </c>
      <c r="D1693" s="19" t="str">
        <f>IFERROR(__xludf.DUMMYFUNCTION("""COMPUTED_VALUE"""),"Viña La Colina")</f>
        <v>Viña La Colina</v>
      </c>
      <c r="E1693" s="19" t="str">
        <f>IFERROR(__xludf.DUMMYFUNCTION("""COMPUTED_VALUE"""),"SITIO RFI")</f>
        <v>SITIO RFI</v>
      </c>
      <c r="F1693" s="19"/>
      <c r="G1693" s="19" t="str">
        <f>IFERROR(__xludf.DUMMYFUNCTION("""COMPUTED_VALUE"""),"x")</f>
        <v>x</v>
      </c>
      <c r="H1693" s="19" t="str">
        <f>IFERROR(__xludf.DUMMYFUNCTION("""COMPUTED_VALUE"""),"x")</f>
        <v>x</v>
      </c>
      <c r="I1693" s="19" t="str">
        <f>IFERROR(__xludf.DUMMYFUNCTION("""COMPUTED_VALUE"""),"x")</f>
        <v>x</v>
      </c>
      <c r="J1693" s="20" t="str">
        <f>IFERROR(__xludf.DUMMYFUNCTION("""COMPUTED_VALUE"""),"x")</f>
        <v>x</v>
      </c>
      <c r="K1693" s="19" t="str">
        <f>IFERROR(__xludf.DUMMYFUNCTION("""COMPUTED_VALUE"""),"x")</f>
        <v>x</v>
      </c>
      <c r="L1693" s="20" t="str">
        <f>IFERROR(__xludf.DUMMYFUNCTION("""COMPUTED_VALUE"""),"x")</f>
        <v>x</v>
      </c>
      <c r="M1693" s="19" t="str">
        <f>IFERROR(__xludf.DUMMYFUNCTION("""COMPUTED_VALUE"""),"PCM")</f>
        <v>PCM</v>
      </c>
      <c r="N1693" s="19" t="str">
        <f>IFERROR(__xludf.DUMMYFUNCTION("""COMPUTED_VALUE"""),"PRIORIDAD 1 Q3 2023 OCTUBRE")</f>
        <v>PRIORIDAD 1 Q3 2023 OCTUBRE</v>
      </c>
    </row>
    <row r="1694" ht="15.75" customHeight="1">
      <c r="A1694" s="19" t="str">
        <f>IFERROR(__xludf.DUMMYFUNCTION("""COMPUTED_VALUE"""),"AB_4256")</f>
        <v>AB_4256</v>
      </c>
      <c r="B1694" s="19" t="str">
        <f>IFERROR(__xludf.DUMMYFUNCTION("""COMPUTED_VALUE"""),"AB_4256_C")</f>
        <v>AB_4256_C</v>
      </c>
      <c r="C1694" s="19" t="str">
        <f>IFERROR(__xludf.DUMMYFUNCTION("""COMPUTED_VALUE"""),"VA4256")</f>
        <v>VA4256</v>
      </c>
      <c r="D1694" s="19" t="str">
        <f>IFERROR(__xludf.DUMMYFUNCTION("""COMPUTED_VALUE"""),"Las Torpederas")</f>
        <v>Las Torpederas</v>
      </c>
      <c r="E1694" s="19" t="str">
        <f>IFERROR(__xludf.DUMMYFUNCTION("""COMPUTED_VALUE"""),"SITIO RFI")</f>
        <v>SITIO RFI</v>
      </c>
      <c r="F1694" s="19"/>
      <c r="G1694" s="19" t="str">
        <f>IFERROR(__xludf.DUMMYFUNCTION("""COMPUTED_VALUE"""),"x")</f>
        <v>x</v>
      </c>
      <c r="H1694" s="19" t="str">
        <f>IFERROR(__xludf.DUMMYFUNCTION("""COMPUTED_VALUE"""),"x")</f>
        <v>x</v>
      </c>
      <c r="I1694" s="19" t="str">
        <f>IFERROR(__xludf.DUMMYFUNCTION("""COMPUTED_VALUE"""),"x")</f>
        <v>x</v>
      </c>
      <c r="J1694" s="20" t="str">
        <f>IFERROR(__xludf.DUMMYFUNCTION("""COMPUTED_VALUE"""),"x")</f>
        <v>x</v>
      </c>
      <c r="K1694" s="19" t="str">
        <f>IFERROR(__xludf.DUMMYFUNCTION("""COMPUTED_VALUE"""),"x")</f>
        <v>x</v>
      </c>
      <c r="L1694" s="20" t="str">
        <f>IFERROR(__xludf.DUMMYFUNCTION("""COMPUTED_VALUE"""),"x")</f>
        <v>x</v>
      </c>
      <c r="M1694" s="19" t="str">
        <f>IFERROR(__xludf.DUMMYFUNCTION("""COMPUTED_VALUE"""),"PCM")</f>
        <v>PCM</v>
      </c>
      <c r="N1694" s="19" t="str">
        <f>IFERROR(__xludf.DUMMYFUNCTION("""COMPUTED_VALUE"""),"PRIORIDAD 1 Q3 2023 OCTUBRE")</f>
        <v>PRIORIDAD 1 Q3 2023 OCTUBRE</v>
      </c>
    </row>
    <row r="1695" ht="15.75" customHeight="1">
      <c r="A1695" s="19" t="str">
        <f>IFERROR(__xludf.DUMMYFUNCTION("""COMPUTED_VALUE"""),"AB_4508")</f>
        <v>AB_4508</v>
      </c>
      <c r="B1695" s="19" t="str">
        <f>IFERROR(__xludf.DUMMYFUNCTION("""COMPUTED_VALUE"""),"AB_4508_A")</f>
        <v>AB_4508_A</v>
      </c>
      <c r="C1695" s="19" t="str">
        <f>IFERROR(__xludf.DUMMYFUNCTION("""COMPUTED_VALUE"""),"VA4508")</f>
        <v>VA4508</v>
      </c>
      <c r="D1695" s="19" t="str">
        <f>IFERROR(__xludf.DUMMYFUNCTION("""COMPUTED_VALUE"""),"San Anibal Los Andes")</f>
        <v>San Anibal Los Andes</v>
      </c>
      <c r="E1695" s="19" t="str">
        <f>IFERROR(__xludf.DUMMYFUNCTION("""COMPUTED_VALUE"""),"SITIO RFI")</f>
        <v>SITIO RFI</v>
      </c>
      <c r="F1695" s="19"/>
      <c r="G1695" s="19" t="str">
        <f>IFERROR(__xludf.DUMMYFUNCTION("""COMPUTED_VALUE"""),"x")</f>
        <v>x</v>
      </c>
      <c r="H1695" s="19" t="str">
        <f>IFERROR(__xludf.DUMMYFUNCTION("""COMPUTED_VALUE"""),"x")</f>
        <v>x</v>
      </c>
      <c r="I1695" s="19" t="str">
        <f>IFERROR(__xludf.DUMMYFUNCTION("""COMPUTED_VALUE"""),"x")</f>
        <v>x</v>
      </c>
      <c r="J1695" s="20" t="str">
        <f>IFERROR(__xludf.DUMMYFUNCTION("""COMPUTED_VALUE"""),"x")</f>
        <v>x</v>
      </c>
      <c r="K1695" s="19" t="str">
        <f>IFERROR(__xludf.DUMMYFUNCTION("""COMPUTED_VALUE"""),"x")</f>
        <v>x</v>
      </c>
      <c r="L1695" s="20" t="str">
        <f>IFERROR(__xludf.DUMMYFUNCTION("""COMPUTED_VALUE"""),"x")</f>
        <v>x</v>
      </c>
      <c r="M1695" s="19" t="str">
        <f>IFERROR(__xludf.DUMMYFUNCTION("""COMPUTED_VALUE"""),"PCM")</f>
        <v>PCM</v>
      </c>
      <c r="N1695" s="19" t="str">
        <f>IFERROR(__xludf.DUMMYFUNCTION("""COMPUTED_VALUE"""),"PRIORIDAD 1 Q3 2023 OCTUBRE")</f>
        <v>PRIORIDAD 1 Q3 2023 OCTUBRE</v>
      </c>
    </row>
    <row r="1696" ht="15.75" customHeight="1">
      <c r="A1696" s="19" t="str">
        <f>IFERROR(__xludf.DUMMYFUNCTION("""COMPUTED_VALUE"""),"AB_5090")</f>
        <v>AB_5090</v>
      </c>
      <c r="B1696" s="19" t="str">
        <f>IFERROR(__xludf.DUMMYFUNCTION("""COMPUTED_VALUE"""),"AB_5090_B")</f>
        <v>AB_5090_B</v>
      </c>
      <c r="C1696" s="19" t="str">
        <f>IFERROR(__xludf.DUMMYFUNCTION("""COMPUTED_VALUE"""),"VA5090")</f>
        <v>VA5090</v>
      </c>
      <c r="D1696" s="19" t="str">
        <f>IFERROR(__xludf.DUMMYFUNCTION("""COMPUTED_VALUE"""),"Recreo Balmaceda")</f>
        <v>Recreo Balmaceda</v>
      </c>
      <c r="E1696" s="19" t="str">
        <f>IFERROR(__xludf.DUMMYFUNCTION("""COMPUTED_VALUE"""),"SITIO RFI")</f>
        <v>SITIO RFI</v>
      </c>
      <c r="F1696" s="19"/>
      <c r="G1696" s="19" t="str">
        <f>IFERROR(__xludf.DUMMYFUNCTION("""COMPUTED_VALUE"""),"x")</f>
        <v>x</v>
      </c>
      <c r="H1696" s="19" t="str">
        <f>IFERROR(__xludf.DUMMYFUNCTION("""COMPUTED_VALUE"""),"x")</f>
        <v>x</v>
      </c>
      <c r="I1696" s="19" t="str">
        <f>IFERROR(__xludf.DUMMYFUNCTION("""COMPUTED_VALUE"""),"x")</f>
        <v>x</v>
      </c>
      <c r="J1696" s="20" t="str">
        <f>IFERROR(__xludf.DUMMYFUNCTION("""COMPUTED_VALUE"""),"x")</f>
        <v>x</v>
      </c>
      <c r="K1696" s="19" t="str">
        <f>IFERROR(__xludf.DUMMYFUNCTION("""COMPUTED_VALUE"""),"x")</f>
        <v>x</v>
      </c>
      <c r="L1696" s="20" t="str">
        <f>IFERROR(__xludf.DUMMYFUNCTION("""COMPUTED_VALUE"""),"x")</f>
        <v>x</v>
      </c>
      <c r="M1696" s="19" t="str">
        <f>IFERROR(__xludf.DUMMYFUNCTION("""COMPUTED_VALUE"""),"PCM")</f>
        <v>PCM</v>
      </c>
      <c r="N1696" s="19" t="str">
        <f>IFERROR(__xludf.DUMMYFUNCTION("""COMPUTED_VALUE"""),"PRIORIDAD 1 Q3 2023 OCTUBRE")</f>
        <v>PRIORIDAD 1 Q3 2023 OCTUBRE</v>
      </c>
    </row>
    <row r="1697" ht="15.75" customHeight="1">
      <c r="A1697" s="19" t="str">
        <f>IFERROR(__xludf.DUMMYFUNCTION("""COMPUTED_VALUE"""),"AB_5092")</f>
        <v>AB_5092</v>
      </c>
      <c r="B1697" s="19" t="str">
        <f>IFERROR(__xludf.DUMMYFUNCTION("""COMPUTED_VALUE"""),"AB_5092_A")</f>
        <v>AB_5092_A</v>
      </c>
      <c r="C1697" s="19" t="str">
        <f>IFERROR(__xludf.DUMMYFUNCTION("""COMPUTED_VALUE"""),"VA5092")</f>
        <v>VA5092</v>
      </c>
      <c r="D1697" s="19" t="str">
        <f>IFERROR(__xludf.DUMMYFUNCTION("""COMPUTED_VALUE"""),"Torrealba")</f>
        <v>Torrealba</v>
      </c>
      <c r="E1697" s="19" t="str">
        <f>IFERROR(__xludf.DUMMYFUNCTION("""COMPUTED_VALUE"""),"SITIO RFI")</f>
        <v>SITIO RFI</v>
      </c>
      <c r="F1697" s="19"/>
      <c r="G1697" s="19" t="str">
        <f>IFERROR(__xludf.DUMMYFUNCTION("""COMPUTED_VALUE"""),"x")</f>
        <v>x</v>
      </c>
      <c r="H1697" s="19" t="str">
        <f>IFERROR(__xludf.DUMMYFUNCTION("""COMPUTED_VALUE"""),"x")</f>
        <v>x</v>
      </c>
      <c r="I1697" s="19" t="str">
        <f>IFERROR(__xludf.DUMMYFUNCTION("""COMPUTED_VALUE"""),"x")</f>
        <v>x</v>
      </c>
      <c r="J1697" s="20" t="str">
        <f>IFERROR(__xludf.DUMMYFUNCTION("""COMPUTED_VALUE"""),"x")</f>
        <v>x</v>
      </c>
      <c r="K1697" s="19" t="str">
        <f>IFERROR(__xludf.DUMMYFUNCTION("""COMPUTED_VALUE"""),"x")</f>
        <v>x</v>
      </c>
      <c r="L1697" s="20" t="str">
        <f>IFERROR(__xludf.DUMMYFUNCTION("""COMPUTED_VALUE"""),"x")</f>
        <v>x</v>
      </c>
      <c r="M1697" s="19" t="str">
        <f>IFERROR(__xludf.DUMMYFUNCTION("""COMPUTED_VALUE"""),"PCM")</f>
        <v>PCM</v>
      </c>
      <c r="N1697" s="19" t="str">
        <f>IFERROR(__xludf.DUMMYFUNCTION("""COMPUTED_VALUE"""),"PRIORIDAD 1 Q3 2023 OCTUBRE")</f>
        <v>PRIORIDAD 1 Q3 2023 OCTUBRE</v>
      </c>
    </row>
    <row r="1698" ht="15.75" customHeight="1">
      <c r="A1698" s="19" t="str">
        <f>IFERROR(__xludf.DUMMYFUNCTION("""COMPUTED_VALUE"""),"AB_5093")</f>
        <v>AB_5093</v>
      </c>
      <c r="B1698" s="19" t="str">
        <f>IFERROR(__xludf.DUMMYFUNCTION("""COMPUTED_VALUE"""),"AB_5093_F")</f>
        <v>AB_5093_F</v>
      </c>
      <c r="C1698" s="19" t="str">
        <f>IFERROR(__xludf.DUMMYFUNCTION("""COMPUTED_VALUE"""),"VA5093")</f>
        <v>VA5093</v>
      </c>
      <c r="D1698" s="19" t="str">
        <f>IFERROR(__xludf.DUMMYFUNCTION("""COMPUTED_VALUE"""),"Recreo 12 de Febrero")</f>
        <v>Recreo 12 de Febrero</v>
      </c>
      <c r="E1698" s="19" t="str">
        <f>IFERROR(__xludf.DUMMYFUNCTION("""COMPUTED_VALUE"""),"SITIO RFI")</f>
        <v>SITIO RFI</v>
      </c>
      <c r="F1698" s="19"/>
      <c r="G1698" s="19" t="str">
        <f>IFERROR(__xludf.DUMMYFUNCTION("""COMPUTED_VALUE"""),"x")</f>
        <v>x</v>
      </c>
      <c r="H1698" s="19" t="str">
        <f>IFERROR(__xludf.DUMMYFUNCTION("""COMPUTED_VALUE"""),"x")</f>
        <v>x</v>
      </c>
      <c r="I1698" s="19" t="str">
        <f>IFERROR(__xludf.DUMMYFUNCTION("""COMPUTED_VALUE"""),"x")</f>
        <v>x</v>
      </c>
      <c r="J1698" s="20" t="str">
        <f>IFERROR(__xludf.DUMMYFUNCTION("""COMPUTED_VALUE"""),"x")</f>
        <v>x</v>
      </c>
      <c r="K1698" s="19" t="str">
        <f>IFERROR(__xludf.DUMMYFUNCTION("""COMPUTED_VALUE"""),"x")</f>
        <v>x</v>
      </c>
      <c r="L1698" s="20" t="str">
        <f>IFERROR(__xludf.DUMMYFUNCTION("""COMPUTED_VALUE"""),"x")</f>
        <v>x</v>
      </c>
      <c r="M1698" s="19" t="str">
        <f>IFERROR(__xludf.DUMMYFUNCTION("""COMPUTED_VALUE"""),"PCM")</f>
        <v>PCM</v>
      </c>
      <c r="N1698" s="19" t="str">
        <f>IFERROR(__xludf.DUMMYFUNCTION("""COMPUTED_VALUE"""),"PRIORIDAD 1 Q3 2023 OCTUBRE")</f>
        <v>PRIORIDAD 1 Q3 2023 OCTUBRE</v>
      </c>
    </row>
    <row r="1699" ht="15.75" customHeight="1">
      <c r="A1699" s="19" t="str">
        <f>IFERROR(__xludf.DUMMYFUNCTION("""COMPUTED_VALUE"""),"AB_5100")</f>
        <v>AB_5100</v>
      </c>
      <c r="B1699" s="19" t="str">
        <f>IFERROR(__xludf.DUMMYFUNCTION("""COMPUTED_VALUE"""),"AB_5100_C")</f>
        <v>AB_5100_C</v>
      </c>
      <c r="C1699" s="19" t="str">
        <f>IFERROR(__xludf.DUMMYFUNCTION("""COMPUTED_VALUE"""),"VA5100")</f>
        <v>VA5100</v>
      </c>
      <c r="D1699" s="19" t="str">
        <f>IFERROR(__xludf.DUMMYFUNCTION("""COMPUTED_VALUE"""),"Veintiuno Norte")</f>
        <v>Veintiuno Norte</v>
      </c>
      <c r="E1699" s="19" t="str">
        <f>IFERROR(__xludf.DUMMYFUNCTION("""COMPUTED_VALUE"""),"SITIO RFI")</f>
        <v>SITIO RFI</v>
      </c>
      <c r="F1699" s="19"/>
      <c r="G1699" s="19" t="str">
        <f>IFERROR(__xludf.DUMMYFUNCTION("""COMPUTED_VALUE"""),"x")</f>
        <v>x</v>
      </c>
      <c r="H1699" s="19" t="str">
        <f>IFERROR(__xludf.DUMMYFUNCTION("""COMPUTED_VALUE"""),"x")</f>
        <v>x</v>
      </c>
      <c r="I1699" s="19" t="str">
        <f>IFERROR(__xludf.DUMMYFUNCTION("""COMPUTED_VALUE"""),"x")</f>
        <v>x</v>
      </c>
      <c r="J1699" s="20" t="str">
        <f>IFERROR(__xludf.DUMMYFUNCTION("""COMPUTED_VALUE"""),"x")</f>
        <v>x</v>
      </c>
      <c r="K1699" s="19" t="str">
        <f>IFERROR(__xludf.DUMMYFUNCTION("""COMPUTED_VALUE"""),"x")</f>
        <v>x</v>
      </c>
      <c r="L1699" s="20" t="str">
        <f>IFERROR(__xludf.DUMMYFUNCTION("""COMPUTED_VALUE"""),"x")</f>
        <v>x</v>
      </c>
      <c r="M1699" s="19" t="str">
        <f>IFERROR(__xludf.DUMMYFUNCTION("""COMPUTED_VALUE"""),"PCM")</f>
        <v>PCM</v>
      </c>
      <c r="N1699" s="19" t="str">
        <f>IFERROR(__xludf.DUMMYFUNCTION("""COMPUTED_VALUE"""),"PRIORIDAD 1 Q3 2023 OCTUBRE")</f>
        <v>PRIORIDAD 1 Q3 2023 OCTUBRE</v>
      </c>
    </row>
    <row r="1700" ht="15.75" customHeight="1">
      <c r="A1700" s="19" t="str">
        <f>IFERROR(__xludf.DUMMYFUNCTION("""COMPUTED_VALUE"""),"AB_5560")</f>
        <v>AB_5560</v>
      </c>
      <c r="B1700" s="19" t="str">
        <f>IFERROR(__xludf.DUMMYFUNCTION("""COMPUTED_VALUE"""),"AB_5560_F")</f>
        <v>AB_5560_F</v>
      </c>
      <c r="C1700" s="19" t="str">
        <f>IFERROR(__xludf.DUMMYFUNCTION("""COMPUTED_VALUE"""),"VA5560")</f>
        <v>VA5560</v>
      </c>
      <c r="D1700" s="19" t="str">
        <f>IFERROR(__xludf.DUMMYFUNCTION("""COMPUTED_VALUE"""),"Cabildo Cenizas")</f>
        <v>Cabildo Cenizas</v>
      </c>
      <c r="E1700" s="19" t="str">
        <f>IFERROR(__xludf.DUMMYFUNCTION("""COMPUTED_VALUE"""),"SITIO RFI")</f>
        <v>SITIO RFI</v>
      </c>
      <c r="F1700" s="19"/>
      <c r="G1700" s="19" t="str">
        <f>IFERROR(__xludf.DUMMYFUNCTION("""COMPUTED_VALUE"""),"x")</f>
        <v>x</v>
      </c>
      <c r="H1700" s="19" t="str">
        <f>IFERROR(__xludf.DUMMYFUNCTION("""COMPUTED_VALUE"""),"x")</f>
        <v>x</v>
      </c>
      <c r="I1700" s="19" t="str">
        <f>IFERROR(__xludf.DUMMYFUNCTION("""COMPUTED_VALUE"""),"x")</f>
        <v>x</v>
      </c>
      <c r="J1700" s="20" t="str">
        <f>IFERROR(__xludf.DUMMYFUNCTION("""COMPUTED_VALUE"""),"x")</f>
        <v>x</v>
      </c>
      <c r="K1700" s="19" t="str">
        <f>IFERROR(__xludf.DUMMYFUNCTION("""COMPUTED_VALUE"""),"x")</f>
        <v>x</v>
      </c>
      <c r="L1700" s="20" t="str">
        <f>IFERROR(__xludf.DUMMYFUNCTION("""COMPUTED_VALUE"""),"x")</f>
        <v>x</v>
      </c>
      <c r="M1700" s="19" t="str">
        <f>IFERROR(__xludf.DUMMYFUNCTION("""COMPUTED_VALUE"""),"PCM")</f>
        <v>PCM</v>
      </c>
      <c r="N1700" s="19" t="str">
        <f>IFERROR(__xludf.DUMMYFUNCTION("""COMPUTED_VALUE"""),"PRIORIDAD 1 Q3 2023 OCTUBRE")</f>
        <v>PRIORIDAD 1 Q3 2023 OCTUBRE</v>
      </c>
    </row>
    <row r="1701" ht="15.75" customHeight="1">
      <c r="A1701" s="19" t="str">
        <f>IFERROR(__xludf.DUMMYFUNCTION("""COMPUTED_VALUE"""),"AB_5594")</f>
        <v>AB_5594</v>
      </c>
      <c r="B1701" s="19" t="str">
        <f>IFERROR(__xludf.DUMMYFUNCTION("""COMPUTED_VALUE"""),"AB_5594_C")</f>
        <v>AB_5594_C</v>
      </c>
      <c r="C1701" s="19" t="str">
        <f>IFERROR(__xludf.DUMMYFUNCTION("""COMPUTED_VALUE"""),"VA5594")</f>
        <v>VA5594</v>
      </c>
      <c r="D1701" s="19" t="str">
        <f>IFERROR(__xludf.DUMMYFUNCTION("""COMPUTED_VALUE"""),"Tabito")</f>
        <v>Tabito</v>
      </c>
      <c r="E1701" s="19" t="str">
        <f>IFERROR(__xludf.DUMMYFUNCTION("""COMPUTED_VALUE"""),"SITIO RFI")</f>
        <v>SITIO RFI</v>
      </c>
      <c r="F1701" s="19"/>
      <c r="G1701" s="19" t="str">
        <f>IFERROR(__xludf.DUMMYFUNCTION("""COMPUTED_VALUE"""),"x")</f>
        <v>x</v>
      </c>
      <c r="H1701" s="19" t="str">
        <f>IFERROR(__xludf.DUMMYFUNCTION("""COMPUTED_VALUE"""),"x")</f>
        <v>x</v>
      </c>
      <c r="I1701" s="19" t="str">
        <f>IFERROR(__xludf.DUMMYFUNCTION("""COMPUTED_VALUE"""),"x")</f>
        <v>x</v>
      </c>
      <c r="J1701" s="20" t="str">
        <f>IFERROR(__xludf.DUMMYFUNCTION("""COMPUTED_VALUE"""),"x")</f>
        <v>x</v>
      </c>
      <c r="K1701" s="19" t="str">
        <f>IFERROR(__xludf.DUMMYFUNCTION("""COMPUTED_VALUE"""),"x")</f>
        <v>x</v>
      </c>
      <c r="L1701" s="20" t="str">
        <f>IFERROR(__xludf.DUMMYFUNCTION("""COMPUTED_VALUE"""),"x")</f>
        <v>x</v>
      </c>
      <c r="M1701" s="19" t="str">
        <f>IFERROR(__xludf.DUMMYFUNCTION("""COMPUTED_VALUE"""),"PCM")</f>
        <v>PCM</v>
      </c>
      <c r="N1701" s="19" t="str">
        <f>IFERROR(__xludf.DUMMYFUNCTION("""COMPUTED_VALUE"""),"PRIORIDAD 1 Q3 2023 OCTUBRE")</f>
        <v>PRIORIDAD 1 Q3 2023 OCTUBRE</v>
      </c>
    </row>
    <row r="1702" ht="15.75" customHeight="1">
      <c r="A1702" s="19" t="str">
        <f>IFERROR(__xludf.DUMMYFUNCTION("""COMPUTED_VALUE"""),"AB_6446")</f>
        <v>AB_6446</v>
      </c>
      <c r="B1702" s="19" t="str">
        <f>IFERROR(__xludf.DUMMYFUNCTION("""COMPUTED_VALUE"""),"AB_6446_B")</f>
        <v>AB_6446_B</v>
      </c>
      <c r="C1702" s="19" t="str">
        <f>IFERROR(__xludf.DUMMYFUNCTION("""COMPUTED_VALUE"""),"VA6446")</f>
        <v>VA6446</v>
      </c>
      <c r="D1702" s="19" t="str">
        <f>IFERROR(__xludf.DUMMYFUNCTION("""COMPUTED_VALUE"""),"Ruta Algarrobo")</f>
        <v>Ruta Algarrobo</v>
      </c>
      <c r="E1702" s="19" t="str">
        <f>IFERROR(__xludf.DUMMYFUNCTION("""COMPUTED_VALUE"""),"SITIO RFI")</f>
        <v>SITIO RFI</v>
      </c>
      <c r="F1702" s="19"/>
      <c r="G1702" s="19" t="str">
        <f>IFERROR(__xludf.DUMMYFUNCTION("""COMPUTED_VALUE"""),"x")</f>
        <v>x</v>
      </c>
      <c r="H1702" s="19" t="str">
        <f>IFERROR(__xludf.DUMMYFUNCTION("""COMPUTED_VALUE"""),"x")</f>
        <v>x</v>
      </c>
      <c r="I1702" s="19" t="str">
        <f>IFERROR(__xludf.DUMMYFUNCTION("""COMPUTED_VALUE"""),"x")</f>
        <v>x</v>
      </c>
      <c r="J1702" s="20" t="str">
        <f>IFERROR(__xludf.DUMMYFUNCTION("""COMPUTED_VALUE"""),"x")</f>
        <v>x</v>
      </c>
      <c r="K1702" s="19" t="str">
        <f>IFERROR(__xludf.DUMMYFUNCTION("""COMPUTED_VALUE"""),"x")</f>
        <v>x</v>
      </c>
      <c r="L1702" s="20" t="str">
        <f>IFERROR(__xludf.DUMMYFUNCTION("""COMPUTED_VALUE"""),"x")</f>
        <v>x</v>
      </c>
      <c r="M1702" s="19" t="str">
        <f>IFERROR(__xludf.DUMMYFUNCTION("""COMPUTED_VALUE"""),"PCM")</f>
        <v>PCM</v>
      </c>
      <c r="N1702" s="19" t="str">
        <f>IFERROR(__xludf.DUMMYFUNCTION("""COMPUTED_VALUE"""),"PRIORIDAD 1 Q3 2023 OCTUBRE")</f>
        <v>PRIORIDAD 1 Q3 2023 OCTUBRE</v>
      </c>
    </row>
    <row r="1703" ht="15.75" customHeight="1">
      <c r="A1703" s="19" t="str">
        <f>IFERROR(__xludf.DUMMYFUNCTION("""COMPUTED_VALUE"""),"AB_6840")</f>
        <v>AB_6840</v>
      </c>
      <c r="B1703" s="19" t="str">
        <f>IFERROR(__xludf.DUMMYFUNCTION("""COMPUTED_VALUE"""),"AB_6840_D")</f>
        <v>AB_6840_D</v>
      </c>
      <c r="C1703" s="19" t="str">
        <f>IFERROR(__xludf.DUMMYFUNCTION("""COMPUTED_VALUE"""),"VA6840")</f>
        <v>VA6840</v>
      </c>
      <c r="D1703" s="19" t="str">
        <f>IFERROR(__xludf.DUMMYFUNCTION("""COMPUTED_VALUE"""),"Concon Rio Limari RU")</f>
        <v>Concon Rio Limari RU</v>
      </c>
      <c r="E1703" s="19" t="str">
        <f>IFERROR(__xludf.DUMMYFUNCTION("""COMPUTED_VALUE"""),"SITIO RFI")</f>
        <v>SITIO RFI</v>
      </c>
      <c r="F1703" s="19"/>
      <c r="G1703" s="19" t="str">
        <f>IFERROR(__xludf.DUMMYFUNCTION("""COMPUTED_VALUE"""),"x")</f>
        <v>x</v>
      </c>
      <c r="H1703" s="19" t="str">
        <f>IFERROR(__xludf.DUMMYFUNCTION("""COMPUTED_VALUE"""),"x")</f>
        <v>x</v>
      </c>
      <c r="I1703" s="19" t="str">
        <f>IFERROR(__xludf.DUMMYFUNCTION("""COMPUTED_VALUE"""),"x")</f>
        <v>x</v>
      </c>
      <c r="J1703" s="20" t="str">
        <f>IFERROR(__xludf.DUMMYFUNCTION("""COMPUTED_VALUE"""),"x")</f>
        <v>x</v>
      </c>
      <c r="K1703" s="19" t="str">
        <f>IFERROR(__xludf.DUMMYFUNCTION("""COMPUTED_VALUE"""),"x")</f>
        <v>x</v>
      </c>
      <c r="L1703" s="20" t="str">
        <f>IFERROR(__xludf.DUMMYFUNCTION("""COMPUTED_VALUE"""),"x")</f>
        <v>x</v>
      </c>
      <c r="M1703" s="19" t="str">
        <f>IFERROR(__xludf.DUMMYFUNCTION("""COMPUTED_VALUE"""),"PCM")</f>
        <v>PCM</v>
      </c>
      <c r="N1703" s="19" t="str">
        <f>IFERROR(__xludf.DUMMYFUNCTION("""COMPUTED_VALUE"""),"PRIORIDAD 1 Q3 2023 OCTUBRE")</f>
        <v>PRIORIDAD 1 Q3 2023 OCTUBRE</v>
      </c>
    </row>
    <row r="1704" ht="15.75" customHeight="1">
      <c r="A1704" s="19" t="str">
        <f>IFERROR(__xludf.DUMMYFUNCTION("""COMPUTED_VALUE"""),"AB_7259")</f>
        <v>AB_7259</v>
      </c>
      <c r="B1704" s="19" t="str">
        <f>IFERROR(__xludf.DUMMYFUNCTION("""COMPUTED_VALUE"""),"AB_7259_B")</f>
        <v>AB_7259_B</v>
      </c>
      <c r="C1704" s="19" t="str">
        <f>IFERROR(__xludf.DUMMYFUNCTION("""COMPUTED_VALUE"""),"VA7259")</f>
        <v>VA7259</v>
      </c>
      <c r="D1704" s="19" t="str">
        <f>IFERROR(__xludf.DUMMYFUNCTION("""COMPUTED_VALUE"""),"Papudo Los Heroes")</f>
        <v>Papudo Los Heroes</v>
      </c>
      <c r="E1704" s="19" t="str">
        <f>IFERROR(__xludf.DUMMYFUNCTION("""COMPUTED_VALUE"""),"SITIO RFI")</f>
        <v>SITIO RFI</v>
      </c>
      <c r="F1704" s="19"/>
      <c r="G1704" s="19" t="str">
        <f>IFERROR(__xludf.DUMMYFUNCTION("""COMPUTED_VALUE"""),"x")</f>
        <v>x</v>
      </c>
      <c r="H1704" s="19" t="str">
        <f>IFERROR(__xludf.DUMMYFUNCTION("""COMPUTED_VALUE"""),"x")</f>
        <v>x</v>
      </c>
      <c r="I1704" s="19" t="str">
        <f>IFERROR(__xludf.DUMMYFUNCTION("""COMPUTED_VALUE"""),"x")</f>
        <v>x</v>
      </c>
      <c r="J1704" s="20" t="str">
        <f>IFERROR(__xludf.DUMMYFUNCTION("""COMPUTED_VALUE"""),"x")</f>
        <v>x</v>
      </c>
      <c r="K1704" s="19" t="str">
        <f>IFERROR(__xludf.DUMMYFUNCTION("""COMPUTED_VALUE"""),"x")</f>
        <v>x</v>
      </c>
      <c r="L1704" s="20" t="str">
        <f>IFERROR(__xludf.DUMMYFUNCTION("""COMPUTED_VALUE"""),"x")</f>
        <v>x</v>
      </c>
      <c r="M1704" s="19" t="str">
        <f>IFERROR(__xludf.DUMMYFUNCTION("""COMPUTED_VALUE"""),"PCM")</f>
        <v>PCM</v>
      </c>
      <c r="N1704" s="19" t="str">
        <f>IFERROR(__xludf.DUMMYFUNCTION("""COMPUTED_VALUE"""),"PRIORIDAD 1 Q3 2023 OCTUBRE")</f>
        <v>PRIORIDAD 1 Q3 2023 OCTUBRE</v>
      </c>
    </row>
    <row r="1705" ht="15.75" customHeight="1">
      <c r="A1705" s="19" t="str">
        <f>IFERROR(__xludf.DUMMYFUNCTION("""COMPUTED_VALUE"""),"AB_7311")</f>
        <v>AB_7311</v>
      </c>
      <c r="B1705" s="19" t="str">
        <f>IFERROR(__xludf.DUMMYFUNCTION("""COMPUTED_VALUE"""),"AB_7311_D")</f>
        <v>AB_7311_D</v>
      </c>
      <c r="C1705" s="19" t="str">
        <f>IFERROR(__xludf.DUMMYFUNCTION("""COMPUTED_VALUE"""),"VA7311")</f>
        <v>VA7311</v>
      </c>
      <c r="D1705" s="19" t="str">
        <f>IFERROR(__xludf.DUMMYFUNCTION("""COMPUTED_VALUE"""),"Enrique Amthor")</f>
        <v>Enrique Amthor</v>
      </c>
      <c r="E1705" s="19" t="str">
        <f>IFERROR(__xludf.DUMMYFUNCTION("""COMPUTED_VALUE"""),"DETENIDO SAC")</f>
        <v>DETENIDO SAC</v>
      </c>
      <c r="F1705" s="19"/>
      <c r="G1705" s="19" t="str">
        <f>IFERROR(__xludf.DUMMYFUNCTION("""COMPUTED_VALUE"""),"x")</f>
        <v>x</v>
      </c>
      <c r="H1705" s="19" t="str">
        <f>IFERROR(__xludf.DUMMYFUNCTION("""COMPUTED_VALUE"""),"x")</f>
        <v>x</v>
      </c>
      <c r="I1705" s="19" t="str">
        <f>IFERROR(__xludf.DUMMYFUNCTION("""COMPUTED_VALUE"""),"x")</f>
        <v>x</v>
      </c>
      <c r="J1705" s="20" t="str">
        <f>IFERROR(__xludf.DUMMYFUNCTION("""COMPUTED_VALUE"""),"x")</f>
        <v>x</v>
      </c>
      <c r="K1705" s="19" t="str">
        <f>IFERROR(__xludf.DUMMYFUNCTION("""COMPUTED_VALUE"""),"x")</f>
        <v>x</v>
      </c>
      <c r="L1705" s="20" t="str">
        <f>IFERROR(__xludf.DUMMYFUNCTION("""COMPUTED_VALUE"""),"x")</f>
        <v>x</v>
      </c>
      <c r="M1705" s="19" t="str">
        <f>IFERROR(__xludf.DUMMYFUNCTION("""COMPUTED_VALUE"""),"PCM")</f>
        <v>PCM</v>
      </c>
      <c r="N1705" s="19" t="str">
        <f>IFERROR(__xludf.DUMMYFUNCTION("""COMPUTED_VALUE"""),"PRIORIDAD 1 Q3 2023 OCTUBRE")</f>
        <v>PRIORIDAD 1 Q3 2023 OCTUBRE</v>
      </c>
    </row>
    <row r="1706" ht="15.75" customHeight="1">
      <c r="A1706" s="19" t="str">
        <f>IFERROR(__xludf.DUMMYFUNCTION("""COMPUTED_VALUE"""),"AB_7340")</f>
        <v>AB_7340</v>
      </c>
      <c r="B1706" s="19" t="str">
        <f>IFERROR(__xludf.DUMMYFUNCTION("""COMPUTED_VALUE"""),"AB_7340_C")</f>
        <v>AB_7340_C</v>
      </c>
      <c r="C1706" s="19" t="str">
        <f>IFERROR(__xludf.DUMMYFUNCTION("""COMPUTED_VALUE"""),"VA7340")</f>
        <v>VA7340</v>
      </c>
      <c r="D1706" s="19" t="str">
        <f>IFERROR(__xludf.DUMMYFUNCTION("""COMPUTED_VALUE"""),"San Juan de Dios")</f>
        <v>San Juan de Dios</v>
      </c>
      <c r="E1706" s="19" t="str">
        <f>IFERROR(__xludf.DUMMYFUNCTION("""COMPUTED_VALUE"""),"SITIO RFI")</f>
        <v>SITIO RFI</v>
      </c>
      <c r="F1706" s="19"/>
      <c r="G1706" s="19" t="str">
        <f>IFERROR(__xludf.DUMMYFUNCTION("""COMPUTED_VALUE"""),"x")</f>
        <v>x</v>
      </c>
      <c r="H1706" s="19" t="str">
        <f>IFERROR(__xludf.DUMMYFUNCTION("""COMPUTED_VALUE"""),"x")</f>
        <v>x</v>
      </c>
      <c r="I1706" s="19" t="str">
        <f>IFERROR(__xludf.DUMMYFUNCTION("""COMPUTED_VALUE"""),"x")</f>
        <v>x</v>
      </c>
      <c r="J1706" s="20" t="str">
        <f>IFERROR(__xludf.DUMMYFUNCTION("""COMPUTED_VALUE"""),"x")</f>
        <v>x</v>
      </c>
      <c r="K1706" s="19" t="str">
        <f>IFERROR(__xludf.DUMMYFUNCTION("""COMPUTED_VALUE"""),"x")</f>
        <v>x</v>
      </c>
      <c r="L1706" s="20" t="str">
        <f>IFERROR(__xludf.DUMMYFUNCTION("""COMPUTED_VALUE"""),"x")</f>
        <v>x</v>
      </c>
      <c r="M1706" s="19" t="str">
        <f>IFERROR(__xludf.DUMMYFUNCTION("""COMPUTED_VALUE"""),"PCM")</f>
        <v>PCM</v>
      </c>
      <c r="N1706" s="19" t="str">
        <f>IFERROR(__xludf.DUMMYFUNCTION("""COMPUTED_VALUE"""),"PRIORIDAD 1 Q3 2023 OCTUBRE")</f>
        <v>PRIORIDAD 1 Q3 2023 OCTUBRE</v>
      </c>
    </row>
    <row r="1707" ht="15.75" customHeight="1">
      <c r="A1707" s="19" t="str">
        <f>IFERROR(__xludf.DUMMYFUNCTION("""COMPUTED_VALUE"""),"AB_7564")</f>
        <v>AB_7564</v>
      </c>
      <c r="B1707" s="19" t="str">
        <f>IFERROR(__xludf.DUMMYFUNCTION("""COMPUTED_VALUE"""),"AB_7564_A")</f>
        <v>AB_7564_A</v>
      </c>
      <c r="C1707" s="19" t="str">
        <f>IFERROR(__xludf.DUMMYFUNCTION("""COMPUTED_VALUE"""),"VA7564")</f>
        <v>VA7564</v>
      </c>
      <c r="D1707" s="19" t="str">
        <f>IFERROR(__xludf.DUMMYFUNCTION("""COMPUTED_VALUE"""),"Villa Los Olmos")</f>
        <v>Villa Los Olmos</v>
      </c>
      <c r="E1707" s="19" t="str">
        <f>IFERROR(__xludf.DUMMYFUNCTION("""COMPUTED_VALUE"""),"SITIO RFI")</f>
        <v>SITIO RFI</v>
      </c>
      <c r="F1707" s="19"/>
      <c r="G1707" s="19" t="str">
        <f>IFERROR(__xludf.DUMMYFUNCTION("""COMPUTED_VALUE"""),"x")</f>
        <v>x</v>
      </c>
      <c r="H1707" s="19" t="str">
        <f>IFERROR(__xludf.DUMMYFUNCTION("""COMPUTED_VALUE"""),"x")</f>
        <v>x</v>
      </c>
      <c r="I1707" s="19" t="str">
        <f>IFERROR(__xludf.DUMMYFUNCTION("""COMPUTED_VALUE"""),"x")</f>
        <v>x</v>
      </c>
      <c r="J1707" s="20" t="str">
        <f>IFERROR(__xludf.DUMMYFUNCTION("""COMPUTED_VALUE"""),"x")</f>
        <v>x</v>
      </c>
      <c r="K1707" s="19" t="str">
        <f>IFERROR(__xludf.DUMMYFUNCTION("""COMPUTED_VALUE"""),"x")</f>
        <v>x</v>
      </c>
      <c r="L1707" s="20" t="str">
        <f>IFERROR(__xludf.DUMMYFUNCTION("""COMPUTED_VALUE"""),"x")</f>
        <v>x</v>
      </c>
      <c r="M1707" s="19" t="str">
        <f>IFERROR(__xludf.DUMMYFUNCTION("""COMPUTED_VALUE"""),"PCM")</f>
        <v>PCM</v>
      </c>
      <c r="N1707" s="19" t="str">
        <f>IFERROR(__xludf.DUMMYFUNCTION("""COMPUTED_VALUE"""),"PRIORIDAD 1 Q3 2023 OCTUBRE")</f>
        <v>PRIORIDAD 1 Q3 2023 OCTUBRE</v>
      </c>
    </row>
    <row r="1708" ht="15.75" customHeight="1">
      <c r="A1708" s="19" t="str">
        <f>IFERROR(__xludf.DUMMYFUNCTION("""COMPUTED_VALUE"""),"AB_7566")</f>
        <v>AB_7566</v>
      </c>
      <c r="B1708" s="19" t="str">
        <f>IFERROR(__xludf.DUMMYFUNCTION("""COMPUTED_VALUE"""),"AB_7566_A")</f>
        <v>AB_7566_A</v>
      </c>
      <c r="C1708" s="19" t="str">
        <f>IFERROR(__xludf.DUMMYFUNCTION("""COMPUTED_VALUE"""),"VA7566")</f>
        <v>VA7566</v>
      </c>
      <c r="D1708" s="19" t="str">
        <f>IFERROR(__xludf.DUMMYFUNCTION("""COMPUTED_VALUE"""),"Viñedos San Esteban")</f>
        <v>Viñedos San Esteban</v>
      </c>
      <c r="E1708" s="19" t="str">
        <f>IFERROR(__xludf.DUMMYFUNCTION("""COMPUTED_VALUE"""),"SITIO RFI")</f>
        <v>SITIO RFI</v>
      </c>
      <c r="F1708" s="19"/>
      <c r="G1708" s="19" t="str">
        <f>IFERROR(__xludf.DUMMYFUNCTION("""COMPUTED_VALUE"""),"x")</f>
        <v>x</v>
      </c>
      <c r="H1708" s="19" t="str">
        <f>IFERROR(__xludf.DUMMYFUNCTION("""COMPUTED_VALUE"""),"x")</f>
        <v>x</v>
      </c>
      <c r="I1708" s="19" t="str">
        <f>IFERROR(__xludf.DUMMYFUNCTION("""COMPUTED_VALUE"""),"x")</f>
        <v>x</v>
      </c>
      <c r="J1708" s="20" t="str">
        <f>IFERROR(__xludf.DUMMYFUNCTION("""COMPUTED_VALUE"""),"x")</f>
        <v>x</v>
      </c>
      <c r="K1708" s="19" t="str">
        <f>IFERROR(__xludf.DUMMYFUNCTION("""COMPUTED_VALUE"""),"x")</f>
        <v>x</v>
      </c>
      <c r="L1708" s="20" t="str">
        <f>IFERROR(__xludf.DUMMYFUNCTION("""COMPUTED_VALUE"""),"x")</f>
        <v>x</v>
      </c>
      <c r="M1708" s="19" t="str">
        <f>IFERROR(__xludf.DUMMYFUNCTION("""COMPUTED_VALUE"""),"PCM")</f>
        <v>PCM</v>
      </c>
      <c r="N1708" s="19" t="str">
        <f>IFERROR(__xludf.DUMMYFUNCTION("""COMPUTED_VALUE"""),"PRIORIDAD 1 Q3 2023 OCTUBRE")</f>
        <v>PRIORIDAD 1 Q3 2023 OCTUBRE</v>
      </c>
    </row>
    <row r="1709" ht="15.75" customHeight="1">
      <c r="A1709" s="19" t="str">
        <f>IFERROR(__xludf.DUMMYFUNCTION("""COMPUTED_VALUE"""),"AB_7567")</f>
        <v>AB_7567</v>
      </c>
      <c r="B1709" s="19" t="str">
        <f>IFERROR(__xludf.DUMMYFUNCTION("""COMPUTED_VALUE"""),"AB_7567_A")</f>
        <v>AB_7567_A</v>
      </c>
      <c r="C1709" s="19" t="str">
        <f>IFERROR(__xludf.DUMMYFUNCTION("""COMPUTED_VALUE"""),"VA7567")</f>
        <v>VA7567</v>
      </c>
      <c r="D1709" s="19" t="str">
        <f>IFERROR(__xludf.DUMMYFUNCTION("""COMPUTED_VALUE"""),"La Union San Esteban")</f>
        <v>La Union San Esteban</v>
      </c>
      <c r="E1709" s="19" t="str">
        <f>IFERROR(__xludf.DUMMYFUNCTION("""COMPUTED_VALUE"""),"SITIO RFI")</f>
        <v>SITIO RFI</v>
      </c>
      <c r="F1709" s="19"/>
      <c r="G1709" s="19" t="str">
        <f>IFERROR(__xludf.DUMMYFUNCTION("""COMPUTED_VALUE"""),"x")</f>
        <v>x</v>
      </c>
      <c r="H1709" s="19" t="str">
        <f>IFERROR(__xludf.DUMMYFUNCTION("""COMPUTED_VALUE"""),"x")</f>
        <v>x</v>
      </c>
      <c r="I1709" s="19" t="str">
        <f>IFERROR(__xludf.DUMMYFUNCTION("""COMPUTED_VALUE"""),"x")</f>
        <v>x</v>
      </c>
      <c r="J1709" s="20" t="str">
        <f>IFERROR(__xludf.DUMMYFUNCTION("""COMPUTED_VALUE"""),"x")</f>
        <v>x</v>
      </c>
      <c r="K1709" s="19" t="str">
        <f>IFERROR(__xludf.DUMMYFUNCTION("""COMPUTED_VALUE"""),"x")</f>
        <v>x</v>
      </c>
      <c r="L1709" s="20" t="str">
        <f>IFERROR(__xludf.DUMMYFUNCTION("""COMPUTED_VALUE"""),"x")</f>
        <v>x</v>
      </c>
      <c r="M1709" s="19" t="str">
        <f>IFERROR(__xludf.DUMMYFUNCTION("""COMPUTED_VALUE"""),"PCM")</f>
        <v>PCM</v>
      </c>
      <c r="N1709" s="19" t="str">
        <f>IFERROR(__xludf.DUMMYFUNCTION("""COMPUTED_VALUE"""),"PRIORIDAD 1 Q3 2023 OCTUBRE")</f>
        <v>PRIORIDAD 1 Q3 2023 OCTUBRE</v>
      </c>
    </row>
    <row r="1710" ht="15.75" customHeight="1">
      <c r="A1710" s="19" t="str">
        <f>IFERROR(__xludf.DUMMYFUNCTION("""COMPUTED_VALUE"""),"AB_8497")</f>
        <v>AB_8497</v>
      </c>
      <c r="B1710" s="19" t="str">
        <f>IFERROR(__xludf.DUMMYFUNCTION("""COMPUTED_VALUE"""),"AB_8497_A")</f>
        <v>AB_8497_A</v>
      </c>
      <c r="C1710" s="19" t="str">
        <f>IFERROR(__xludf.DUMMYFUNCTION("""COMPUTED_VALUE"""),"VA8497")</f>
        <v>VA8497</v>
      </c>
      <c r="D1710" s="19" t="str">
        <f>IFERROR(__xludf.DUMMYFUNCTION("""COMPUTED_VALUE"""),"Altos de Concon")</f>
        <v>Altos de Concon</v>
      </c>
      <c r="E1710" s="19" t="str">
        <f>IFERROR(__xludf.DUMMYFUNCTION("""COMPUTED_VALUE"""),"SITIO RFI")</f>
        <v>SITIO RFI</v>
      </c>
      <c r="F1710" s="19"/>
      <c r="G1710" s="19" t="str">
        <f>IFERROR(__xludf.DUMMYFUNCTION("""COMPUTED_VALUE"""),"x")</f>
        <v>x</v>
      </c>
      <c r="H1710" s="19" t="str">
        <f>IFERROR(__xludf.DUMMYFUNCTION("""COMPUTED_VALUE"""),"x")</f>
        <v>x</v>
      </c>
      <c r="I1710" s="19" t="str">
        <f>IFERROR(__xludf.DUMMYFUNCTION("""COMPUTED_VALUE"""),"x")</f>
        <v>x</v>
      </c>
      <c r="J1710" s="20" t="str">
        <f>IFERROR(__xludf.DUMMYFUNCTION("""COMPUTED_VALUE"""),"x")</f>
        <v>x</v>
      </c>
      <c r="K1710" s="19" t="str">
        <f>IFERROR(__xludf.DUMMYFUNCTION("""COMPUTED_VALUE"""),"x")</f>
        <v>x</v>
      </c>
      <c r="L1710" s="20" t="str">
        <f>IFERROR(__xludf.DUMMYFUNCTION("""COMPUTED_VALUE"""),"x")</f>
        <v>x</v>
      </c>
      <c r="M1710" s="19" t="str">
        <f>IFERROR(__xludf.DUMMYFUNCTION("""COMPUTED_VALUE"""),"PCM")</f>
        <v>PCM</v>
      </c>
      <c r="N1710" s="19" t="str">
        <f>IFERROR(__xludf.DUMMYFUNCTION("""COMPUTED_VALUE"""),"PRIORIDAD 1 Q3 2023 OCTUBRE")</f>
        <v>PRIORIDAD 1 Q3 2023 OCTUBRE</v>
      </c>
    </row>
    <row r="1711" ht="15.75" customHeight="1">
      <c r="A1711" s="19" t="str">
        <f>IFERROR(__xludf.DUMMYFUNCTION("""COMPUTED_VALUE"""),"AB_8501")</f>
        <v>AB_8501</v>
      </c>
      <c r="B1711" s="19" t="str">
        <f>IFERROR(__xludf.DUMMYFUNCTION("""COMPUTED_VALUE"""),"AB_8501_A")</f>
        <v>AB_8501_A</v>
      </c>
      <c r="C1711" s="19" t="str">
        <f>IFERROR(__xludf.DUMMYFUNCTION("""COMPUTED_VALUE"""),"VA8501")</f>
        <v>VA8501</v>
      </c>
      <c r="D1711" s="19" t="str">
        <f>IFERROR(__xludf.DUMMYFUNCTION("""COMPUTED_VALUE"""),"Cementerio Parque del Mar")</f>
        <v>Cementerio Parque del Mar</v>
      </c>
      <c r="E1711" s="19" t="str">
        <f>IFERROR(__xludf.DUMMYFUNCTION("""COMPUTED_VALUE"""),"SITIO RFI")</f>
        <v>SITIO RFI</v>
      </c>
      <c r="F1711" s="19"/>
      <c r="G1711" s="19" t="str">
        <f>IFERROR(__xludf.DUMMYFUNCTION("""COMPUTED_VALUE"""),"x")</f>
        <v>x</v>
      </c>
      <c r="H1711" s="19" t="str">
        <f>IFERROR(__xludf.DUMMYFUNCTION("""COMPUTED_VALUE"""),"x")</f>
        <v>x</v>
      </c>
      <c r="I1711" s="19" t="str">
        <f>IFERROR(__xludf.DUMMYFUNCTION("""COMPUTED_VALUE"""),"x")</f>
        <v>x</v>
      </c>
      <c r="J1711" s="20" t="str">
        <f>IFERROR(__xludf.DUMMYFUNCTION("""COMPUTED_VALUE"""),"x")</f>
        <v>x</v>
      </c>
      <c r="K1711" s="19" t="str">
        <f>IFERROR(__xludf.DUMMYFUNCTION("""COMPUTED_VALUE"""),"x")</f>
        <v>x</v>
      </c>
      <c r="L1711" s="20" t="str">
        <f>IFERROR(__xludf.DUMMYFUNCTION("""COMPUTED_VALUE"""),"x")</f>
        <v>x</v>
      </c>
      <c r="M1711" s="19" t="str">
        <f>IFERROR(__xludf.DUMMYFUNCTION("""COMPUTED_VALUE"""),"PCM")</f>
        <v>PCM</v>
      </c>
      <c r="N1711" s="19" t="str">
        <f>IFERROR(__xludf.DUMMYFUNCTION("""COMPUTED_VALUE"""),"PRIORIDAD 1 Q3 2023 OCTUBRE")</f>
        <v>PRIORIDAD 1 Q3 2023 OCTUBRE</v>
      </c>
    </row>
    <row r="1712" ht="15.75" customHeight="1">
      <c r="A1712" s="19" t="str">
        <f>IFERROR(__xludf.DUMMYFUNCTION("""COMPUTED_VALUE"""),"AB_8511")</f>
        <v>AB_8511</v>
      </c>
      <c r="B1712" s="19" t="str">
        <f>IFERROR(__xludf.DUMMYFUNCTION("""COMPUTED_VALUE"""),"AB_8511_A")</f>
        <v>AB_8511_A</v>
      </c>
      <c r="C1712" s="19" t="str">
        <f>IFERROR(__xludf.DUMMYFUNCTION("""COMPUTED_VALUE"""),"VA8511")</f>
        <v>VA8511</v>
      </c>
      <c r="D1712" s="19" t="str">
        <f>IFERROR(__xludf.DUMMYFUNCTION("""COMPUTED_VALUE"""),"Puerto Ventanas")</f>
        <v>Puerto Ventanas</v>
      </c>
      <c r="E1712" s="19" t="str">
        <f>IFERROR(__xludf.DUMMYFUNCTION("""COMPUTED_VALUE"""),"SITIO RFI")</f>
        <v>SITIO RFI</v>
      </c>
      <c r="F1712" s="19"/>
      <c r="G1712" s="19" t="str">
        <f>IFERROR(__xludf.DUMMYFUNCTION("""COMPUTED_VALUE"""),"x")</f>
        <v>x</v>
      </c>
      <c r="H1712" s="19" t="str">
        <f>IFERROR(__xludf.DUMMYFUNCTION("""COMPUTED_VALUE"""),"x")</f>
        <v>x</v>
      </c>
      <c r="I1712" s="19" t="str">
        <f>IFERROR(__xludf.DUMMYFUNCTION("""COMPUTED_VALUE"""),"x")</f>
        <v>x</v>
      </c>
      <c r="J1712" s="20" t="str">
        <f>IFERROR(__xludf.DUMMYFUNCTION("""COMPUTED_VALUE"""),"x")</f>
        <v>x</v>
      </c>
      <c r="K1712" s="19" t="str">
        <f>IFERROR(__xludf.DUMMYFUNCTION("""COMPUTED_VALUE"""),"x")</f>
        <v>x</v>
      </c>
      <c r="L1712" s="20" t="str">
        <f>IFERROR(__xludf.DUMMYFUNCTION("""COMPUTED_VALUE"""),"x")</f>
        <v>x</v>
      </c>
      <c r="M1712" s="19" t="str">
        <f>IFERROR(__xludf.DUMMYFUNCTION("""COMPUTED_VALUE"""),"PCM")</f>
        <v>PCM</v>
      </c>
      <c r="N1712" s="19" t="str">
        <f>IFERROR(__xludf.DUMMYFUNCTION("""COMPUTED_VALUE"""),"PRIORIDAD 1 Q3 2023 OCTUBRE")</f>
        <v>PRIORIDAD 1 Q3 2023 OCTUBRE</v>
      </c>
    </row>
    <row r="1713" ht="15.75" customHeight="1">
      <c r="A1713" s="19" t="str">
        <f>IFERROR(__xludf.DUMMYFUNCTION("""COMPUTED_VALUE"""),"AB_8514")</f>
        <v>AB_8514</v>
      </c>
      <c r="B1713" s="19" t="str">
        <f>IFERROR(__xludf.DUMMYFUNCTION("""COMPUTED_VALUE"""),"AB_8514_A")</f>
        <v>AB_8514_A</v>
      </c>
      <c r="C1713" s="19" t="str">
        <f>IFERROR(__xludf.DUMMYFUNCTION("""COMPUTED_VALUE"""),"VA8514")</f>
        <v>VA8514</v>
      </c>
      <c r="D1713" s="19" t="str">
        <f>IFERROR(__xludf.DUMMYFUNCTION("""COMPUTED_VALUE"""),"Torquemada")</f>
        <v>Torquemada</v>
      </c>
      <c r="E1713" s="19" t="str">
        <f>IFERROR(__xludf.DUMMYFUNCTION("""COMPUTED_VALUE"""),"SITIO RFI")</f>
        <v>SITIO RFI</v>
      </c>
      <c r="F1713" s="19"/>
      <c r="G1713" s="19" t="str">
        <f>IFERROR(__xludf.DUMMYFUNCTION("""COMPUTED_VALUE"""),"x")</f>
        <v>x</v>
      </c>
      <c r="H1713" s="19" t="str">
        <f>IFERROR(__xludf.DUMMYFUNCTION("""COMPUTED_VALUE"""),"x")</f>
        <v>x</v>
      </c>
      <c r="I1713" s="19" t="str">
        <f>IFERROR(__xludf.DUMMYFUNCTION("""COMPUTED_VALUE"""),"x")</f>
        <v>x</v>
      </c>
      <c r="J1713" s="20" t="str">
        <f>IFERROR(__xludf.DUMMYFUNCTION("""COMPUTED_VALUE"""),"x")</f>
        <v>x</v>
      </c>
      <c r="K1713" s="19" t="str">
        <f>IFERROR(__xludf.DUMMYFUNCTION("""COMPUTED_VALUE"""),"x")</f>
        <v>x</v>
      </c>
      <c r="L1713" s="20" t="str">
        <f>IFERROR(__xludf.DUMMYFUNCTION("""COMPUTED_VALUE"""),"x")</f>
        <v>x</v>
      </c>
      <c r="M1713" s="19" t="str">
        <f>IFERROR(__xludf.DUMMYFUNCTION("""COMPUTED_VALUE"""),"PCM")</f>
        <v>PCM</v>
      </c>
      <c r="N1713" s="19" t="str">
        <f>IFERROR(__xludf.DUMMYFUNCTION("""COMPUTED_VALUE"""),"PRIORIDAD 1 Q3 2023 OCTUBRE")</f>
        <v>PRIORIDAD 1 Q3 2023 OCTUBRE</v>
      </c>
    </row>
    <row r="1714" ht="15.75" customHeight="1">
      <c r="A1714" s="19" t="str">
        <f>IFERROR(__xludf.DUMMYFUNCTION("""COMPUTED_VALUE"""),"AB_8518")</f>
        <v>AB_8518</v>
      </c>
      <c r="B1714" s="19" t="str">
        <f>IFERROR(__xludf.DUMMYFUNCTION("""COMPUTED_VALUE"""),"AB_8518_H")</f>
        <v>AB_8518_H</v>
      </c>
      <c r="C1714" s="19" t="str">
        <f>IFERROR(__xludf.DUMMYFUNCTION("""COMPUTED_VALUE"""),"VA8518")</f>
        <v>VA8518</v>
      </c>
      <c r="D1714" s="19" t="str">
        <f>IFERROR(__xludf.DUMMYFUNCTION("""COMPUTED_VALUE"""),"Villa Don Maximiliano")</f>
        <v>Villa Don Maximiliano</v>
      </c>
      <c r="E1714" s="19" t="str">
        <f>IFERROR(__xludf.DUMMYFUNCTION("""COMPUTED_VALUE"""),"SITIO RFC")</f>
        <v>SITIO RFC</v>
      </c>
      <c r="F1714" s="19"/>
      <c r="G1714" s="19" t="str">
        <f>IFERROR(__xludf.DUMMYFUNCTION("""COMPUTED_VALUE"""),"x")</f>
        <v>x</v>
      </c>
      <c r="H1714" s="19" t="str">
        <f>IFERROR(__xludf.DUMMYFUNCTION("""COMPUTED_VALUE"""),"x")</f>
        <v>x</v>
      </c>
      <c r="I1714" s="19" t="str">
        <f>IFERROR(__xludf.DUMMYFUNCTION("""COMPUTED_VALUE"""),"x")</f>
        <v>x</v>
      </c>
      <c r="J1714" s="20" t="str">
        <f>IFERROR(__xludf.DUMMYFUNCTION("""COMPUTED_VALUE"""),"x")</f>
        <v>x</v>
      </c>
      <c r="K1714" s="19" t="str">
        <f>IFERROR(__xludf.DUMMYFUNCTION("""COMPUTED_VALUE"""),"x")</f>
        <v>x</v>
      </c>
      <c r="L1714" s="20" t="str">
        <f>IFERROR(__xludf.DUMMYFUNCTION("""COMPUTED_VALUE"""),"x")</f>
        <v>x</v>
      </c>
      <c r="M1714" s="19" t="str">
        <f>IFERROR(__xludf.DUMMYFUNCTION("""COMPUTED_VALUE"""),"PCM")</f>
        <v>PCM</v>
      </c>
      <c r="N1714" s="19" t="str">
        <f>IFERROR(__xludf.DUMMYFUNCTION("""COMPUTED_VALUE"""),"PRIORIDAD 3 Q1 2024 MARZO")</f>
        <v>PRIORIDAD 3 Q1 2024 MARZO</v>
      </c>
    </row>
    <row r="1715" ht="15.75" customHeight="1">
      <c r="A1715" s="19" t="str">
        <f>IFERROR(__xludf.DUMMYFUNCTION("""COMPUTED_VALUE"""),"AB_8666")</f>
        <v>AB_8666</v>
      </c>
      <c r="B1715" s="19" t="str">
        <f>IFERROR(__xludf.DUMMYFUNCTION("""COMPUTED_VALUE"""),"AB_8666_A")</f>
        <v>AB_8666_A</v>
      </c>
      <c r="C1715" s="19" t="str">
        <f>IFERROR(__xludf.DUMMYFUNCTION("""COMPUTED_VALUE"""),"VA8666")</f>
        <v>VA8666</v>
      </c>
      <c r="D1715" s="19" t="str">
        <f>IFERROR(__xludf.DUMMYFUNCTION("""COMPUTED_VALUE"""),"Los Molles Panamericana Norte")</f>
        <v>Los Molles Panamericana Norte</v>
      </c>
      <c r="E1715" s="19" t="str">
        <f>IFERROR(__xludf.DUMMYFUNCTION("""COMPUTED_VALUE"""),"SITIO RFI")</f>
        <v>SITIO RFI</v>
      </c>
      <c r="F1715" s="19"/>
      <c r="G1715" s="19" t="str">
        <f>IFERROR(__xludf.DUMMYFUNCTION("""COMPUTED_VALUE"""),"x")</f>
        <v>x</v>
      </c>
      <c r="H1715" s="19" t="str">
        <f>IFERROR(__xludf.DUMMYFUNCTION("""COMPUTED_VALUE"""),"x")</f>
        <v>x</v>
      </c>
      <c r="I1715" s="19" t="str">
        <f>IFERROR(__xludf.DUMMYFUNCTION("""COMPUTED_VALUE"""),"x")</f>
        <v>x</v>
      </c>
      <c r="J1715" s="20" t="str">
        <f>IFERROR(__xludf.DUMMYFUNCTION("""COMPUTED_VALUE"""),"x")</f>
        <v>x</v>
      </c>
      <c r="K1715" s="19" t="str">
        <f>IFERROR(__xludf.DUMMYFUNCTION("""COMPUTED_VALUE"""),"x")</f>
        <v>x</v>
      </c>
      <c r="L1715" s="20" t="str">
        <f>IFERROR(__xludf.DUMMYFUNCTION("""COMPUTED_VALUE"""),"x")</f>
        <v>x</v>
      </c>
      <c r="M1715" s="19" t="str">
        <f>IFERROR(__xludf.DUMMYFUNCTION("""COMPUTED_VALUE"""),"PP")</f>
        <v>PP</v>
      </c>
      <c r="N1715" s="19" t="str">
        <f>IFERROR(__xludf.DUMMYFUNCTION("""COMPUTED_VALUE"""),"PRIORIDAD 1 Q3 2023 OCTUBRE")</f>
        <v>PRIORIDAD 1 Q3 2023 OCTUBRE</v>
      </c>
    </row>
    <row r="1716" ht="15.75" customHeight="1">
      <c r="A1716" s="19"/>
      <c r="B1716" s="19"/>
      <c r="C1716" s="19"/>
      <c r="D1716" s="19"/>
      <c r="E1716" s="19"/>
      <c r="F1716" s="19"/>
      <c r="G1716" s="19"/>
      <c r="H1716" s="19" t="str">
        <f>IFERROR(__xludf.DUMMYFUNCTION("""COMPUTED_VALUE"""),"x")</f>
        <v>x</v>
      </c>
      <c r="I1716" s="19"/>
      <c r="J1716" s="20"/>
      <c r="K1716" s="19"/>
      <c r="L1716" s="20"/>
      <c r="M1716" s="19"/>
      <c r="N1716" s="19"/>
    </row>
    <row r="1717" ht="15.75" customHeight="1">
      <c r="A1717" s="19"/>
      <c r="B1717" s="19"/>
      <c r="C1717" s="19"/>
      <c r="D1717" s="19"/>
      <c r="E1717" s="19"/>
      <c r="F1717" s="19"/>
      <c r="G1717" s="19"/>
      <c r="H1717" s="19"/>
      <c r="I1717" s="19"/>
      <c r="J1717" s="19"/>
      <c r="K1717" s="19"/>
      <c r="L1717" s="19"/>
      <c r="M1717" s="19"/>
      <c r="N1717" s="19"/>
    </row>
  </sheetData>
  <drawing r:id="rId1"/>
</worksheet>
</file>